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roduktentwicklung/Excel/Prisoners/2020/"/>
    </mc:Choice>
  </mc:AlternateContent>
  <xr:revisionPtr revIDLastSave="1" documentId="8_{C3B1DEED-A8D1-464B-A6E4-DCB6D5BB12CF}" xr6:coauthVersionLast="45" xr6:coauthVersionMax="45" xr10:uidLastSave="{DBF2A9E4-E752-4AF9-AED3-366133C4D9E0}"/>
  <bookViews>
    <workbookView xWindow="-19320" yWindow="-120" windowWidth="19440" windowHeight="15150" xr2:uid="{00000000-000D-0000-FFFF-FFFF00000000}"/>
  </bookViews>
  <sheets>
    <sheet name="Percentage" sheetId="5" r:id="rId1"/>
    <sheet name="Absolutely" sheetId="8" r:id="rId2"/>
    <sheet name="Data" sheetId="6" r:id="rId3"/>
    <sheet name="DV-IDENTITY-0" sheetId="7" state="veryHidden" r:id="rId4"/>
  </sheets>
  <definedNames>
    <definedName name="OLE_LINK1" localSheetId="2">Data!$B$10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0" i="8" l="1"/>
  <c r="Q30" i="8"/>
  <c r="P28" i="8"/>
  <c r="T27" i="8"/>
  <c r="T24" i="8"/>
  <c r="O23" i="8"/>
  <c r="T21" i="8"/>
  <c r="M19" i="8"/>
  <c r="T18" i="8"/>
  <c r="T15" i="8"/>
  <c r="L14" i="8"/>
  <c r="V12" i="8"/>
  <c r="T12" i="8"/>
  <c r="Q31" i="8"/>
  <c r="V11" i="8"/>
  <c r="K11" i="8"/>
  <c r="P26" i="8"/>
  <c r="V10" i="8"/>
  <c r="O24" i="8"/>
  <c r="V9" i="8"/>
  <c r="T9" i="8"/>
  <c r="N22" i="8"/>
  <c r="W8" i="8"/>
  <c r="V8" i="8"/>
  <c r="M17" i="8"/>
  <c r="V7" i="8"/>
  <c r="G7" i="8"/>
  <c r="G10" i="8" s="1"/>
  <c r="G13" i="8" s="1"/>
  <c r="G16" i="8" s="1"/>
  <c r="G19" i="8" s="1"/>
  <c r="G22" i="8" s="1"/>
  <c r="G25" i="8" s="1"/>
  <c r="G28" i="8" s="1"/>
  <c r="G31" i="8" s="1"/>
  <c r="L15" i="8"/>
  <c r="W6" i="8"/>
  <c r="V6" i="8"/>
  <c r="T6" i="8"/>
  <c r="K12" i="8"/>
  <c r="V5" i="8"/>
  <c r="J8" i="8"/>
  <c r="V4" i="8"/>
  <c r="Y4" i="8" s="1"/>
  <c r="X5" i="8" s="1"/>
  <c r="Y5" i="8" s="1"/>
  <c r="X6" i="8" s="1"/>
  <c r="I5" i="8"/>
  <c r="H8" i="8" s="1"/>
  <c r="H11" i="8" s="1"/>
  <c r="H14" i="8" s="1"/>
  <c r="Q3" i="8"/>
  <c r="P3" i="8"/>
  <c r="O3" i="8"/>
  <c r="N3" i="8"/>
  <c r="M3" i="8"/>
  <c r="L3" i="8"/>
  <c r="K3" i="8"/>
  <c r="J3" i="8"/>
  <c r="I3" i="8"/>
  <c r="I2" i="8"/>
  <c r="G2" i="8"/>
  <c r="H17" i="8" l="1"/>
  <c r="H20" i="8" s="1"/>
  <c r="Y6" i="8"/>
  <c r="X7" i="8" s="1"/>
  <c r="Y7" i="8" s="1"/>
  <c r="X8" i="8" s="1"/>
  <c r="Y8" i="8" s="1"/>
  <c r="X9" i="8" s="1"/>
  <c r="Y9" i="8" s="1"/>
  <c r="X10" i="8" s="1"/>
  <c r="Y10" i="8" s="1"/>
  <c r="X11" i="8" s="1"/>
  <c r="Y11" i="8" s="1"/>
  <c r="X12" i="8" s="1"/>
  <c r="Y12" i="8" s="1"/>
  <c r="X13" i="8" s="1"/>
  <c r="W4" i="8"/>
  <c r="AA4" i="8" s="1"/>
  <c r="Z5" i="8" s="1"/>
  <c r="W5" i="8"/>
  <c r="G6" i="8"/>
  <c r="J10" i="8"/>
  <c r="W11" i="8"/>
  <c r="K13" i="8"/>
  <c r="L16" i="8"/>
  <c r="M18" i="8"/>
  <c r="O25" i="8"/>
  <c r="P27" i="8"/>
  <c r="I6" i="8"/>
  <c r="H9" i="8" s="1"/>
  <c r="H12" i="8" s="1"/>
  <c r="H15" i="8" s="1"/>
  <c r="H18" i="8" s="1"/>
  <c r="W7" i="8"/>
  <c r="G8" i="8"/>
  <c r="G9" i="8" s="1"/>
  <c r="J9" i="8"/>
  <c r="N20" i="8"/>
  <c r="H23" i="8" s="1"/>
  <c r="H26" i="8" s="1"/>
  <c r="H29" i="8" s="1"/>
  <c r="Q29" i="8"/>
  <c r="W9" i="8"/>
  <c r="N21" i="8"/>
  <c r="I7" i="8"/>
  <c r="H10" i="8" s="1"/>
  <c r="W12" i="8"/>
  <c r="W10" i="8"/>
  <c r="G11" i="8"/>
  <c r="B8" i="7"/>
  <c r="C8" i="7"/>
  <c r="D8" i="7"/>
  <c r="E8" i="7"/>
  <c r="F8" i="7"/>
  <c r="G8" i="7"/>
  <c r="H8" i="7"/>
  <c r="I8" i="7"/>
  <c r="J8" i="7"/>
  <c r="L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G8" i="7"/>
  <c r="BH8" i="7"/>
  <c r="BI8" i="7"/>
  <c r="BJ8" i="7"/>
  <c r="BK8" i="7"/>
  <c r="BL8" i="7"/>
  <c r="BM8" i="7"/>
  <c r="BQ8" i="7"/>
  <c r="BR8" i="7"/>
  <c r="BS8" i="7"/>
  <c r="BT8" i="7"/>
  <c r="BU8" i="7"/>
  <c r="BV8" i="7"/>
  <c r="BW8" i="7"/>
  <c r="CA8" i="7"/>
  <c r="CB8" i="7"/>
  <c r="CC8" i="7"/>
  <c r="CD8" i="7"/>
  <c r="CE8" i="7"/>
  <c r="CF8" i="7"/>
  <c r="CG8" i="7"/>
  <c r="CK8" i="7"/>
  <c r="CL8" i="7"/>
  <c r="CM8" i="7"/>
  <c r="CN8" i="7"/>
  <c r="CO8" i="7"/>
  <c r="CP8" i="7"/>
  <c r="CQ8" i="7"/>
  <c r="CU8" i="7"/>
  <c r="CV8" i="7"/>
  <c r="CW8" i="7"/>
  <c r="CX8" i="7"/>
  <c r="CY8" i="7"/>
  <c r="CZ8" i="7"/>
  <c r="DA8" i="7"/>
  <c r="DE8" i="7"/>
  <c r="DF8" i="7"/>
  <c r="DG8" i="7"/>
  <c r="DH8" i="7"/>
  <c r="DI8" i="7"/>
  <c r="DJ8" i="7"/>
  <c r="DK8" i="7"/>
  <c r="DO8" i="7"/>
  <c r="DP8" i="7"/>
  <c r="DQ8" i="7"/>
  <c r="DR8" i="7"/>
  <c r="DS8" i="7"/>
  <c r="DT8" i="7"/>
  <c r="DU8" i="7"/>
  <c r="DY8" i="7"/>
  <c r="DZ8" i="7"/>
  <c r="EA8" i="7"/>
  <c r="EB8" i="7"/>
  <c r="EC8" i="7"/>
  <c r="ED8" i="7"/>
  <c r="EE8" i="7"/>
  <c r="EI8" i="7"/>
  <c r="EJ8" i="7"/>
  <c r="EK8" i="7"/>
  <c r="EL8" i="7"/>
  <c r="EM8" i="7"/>
  <c r="EN8" i="7"/>
  <c r="EO8" i="7"/>
  <c r="ES8" i="7"/>
  <c r="ET8" i="7"/>
  <c r="EU8" i="7"/>
  <c r="EV8" i="7"/>
  <c r="EW8" i="7"/>
  <c r="EX8" i="7"/>
  <c r="EY8" i="7"/>
  <c r="FC8" i="7"/>
  <c r="FD8" i="7"/>
  <c r="FE8" i="7"/>
  <c r="FF8" i="7"/>
  <c r="FG8" i="7"/>
  <c r="FH8" i="7"/>
  <c r="FI8" i="7"/>
  <c r="FM8" i="7"/>
  <c r="FN8" i="7"/>
  <c r="FO8" i="7"/>
  <c r="FP8" i="7"/>
  <c r="FQ8" i="7"/>
  <c r="FR8" i="7"/>
  <c r="FS8" i="7"/>
  <c r="FW8" i="7"/>
  <c r="FX8" i="7"/>
  <c r="FY8" i="7"/>
  <c r="FZ8" i="7"/>
  <c r="GA8" i="7"/>
  <c r="GB8" i="7"/>
  <c r="GC8" i="7"/>
  <c r="GG8" i="7"/>
  <c r="GH8" i="7"/>
  <c r="GI8" i="7"/>
  <c r="GJ8" i="7"/>
  <c r="GK8" i="7"/>
  <c r="GL8" i="7"/>
  <c r="GM8" i="7"/>
  <c r="GQ8" i="7"/>
  <c r="GR8" i="7"/>
  <c r="GS8" i="7"/>
  <c r="GT8" i="7"/>
  <c r="GU8" i="7"/>
  <c r="GV8" i="7"/>
  <c r="GW8" i="7"/>
  <c r="HA8" i="7"/>
  <c r="HB8" i="7"/>
  <c r="HC8" i="7"/>
  <c r="HD8" i="7"/>
  <c r="HE8" i="7"/>
  <c r="HF8" i="7"/>
  <c r="HG8" i="7"/>
  <c r="HK8" i="7"/>
  <c r="HL8" i="7"/>
  <c r="HM8" i="7"/>
  <c r="HN8" i="7"/>
  <c r="HO8" i="7"/>
  <c r="HP8" i="7"/>
  <c r="A7" i="7"/>
  <c r="B7" i="7"/>
  <c r="C7" i="7"/>
  <c r="D7" i="7"/>
  <c r="E7" i="7"/>
  <c r="F7" i="7"/>
  <c r="G7" i="7"/>
  <c r="H7" i="7"/>
  <c r="I7" i="7"/>
  <c r="L7" i="7"/>
  <c r="M7" i="7"/>
  <c r="N7" i="7"/>
  <c r="O7" i="7"/>
  <c r="P7" i="7"/>
  <c r="Q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M7" i="7"/>
  <c r="AN7" i="7"/>
  <c r="AO7" i="7"/>
  <c r="AP7" i="7"/>
  <c r="AQ7" i="7"/>
  <c r="AR7" i="7"/>
  <c r="AS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N7" i="7"/>
  <c r="BO7" i="7"/>
  <c r="BP7" i="7"/>
  <c r="BQ7" i="7"/>
  <c r="BR7" i="7"/>
  <c r="BS7" i="7"/>
  <c r="BT7" i="7"/>
  <c r="BV7" i="7"/>
  <c r="BW7" i="7"/>
  <c r="BX7" i="7"/>
  <c r="BZ7" i="7"/>
  <c r="CA7" i="7"/>
  <c r="CB7" i="7"/>
  <c r="CC7" i="7"/>
  <c r="CD7" i="7"/>
  <c r="CE7" i="7"/>
  <c r="CF7" i="7"/>
  <c r="CG7" i="7"/>
  <c r="CH7" i="7"/>
  <c r="CI7" i="7"/>
  <c r="CJ7" i="7"/>
  <c r="CK7" i="7"/>
  <c r="CL7" i="7"/>
  <c r="CO7" i="7"/>
  <c r="CP7" i="7"/>
  <c r="CQ7" i="7"/>
  <c r="CR7" i="7"/>
  <c r="CS7" i="7"/>
  <c r="CT7" i="7"/>
  <c r="CU7" i="7"/>
  <c r="CW7" i="7"/>
  <c r="CX7" i="7"/>
  <c r="CY7" i="7"/>
  <c r="CZ7" i="7"/>
  <c r="DA7" i="7"/>
  <c r="DB7" i="7"/>
  <c r="DC7" i="7"/>
  <c r="DD7" i="7"/>
  <c r="DE7" i="7"/>
  <c r="DF7" i="7"/>
  <c r="DG7" i="7"/>
  <c r="DH7" i="7"/>
  <c r="DI7" i="7"/>
  <c r="DJ7" i="7"/>
  <c r="DK7" i="7"/>
  <c r="DL7" i="7"/>
  <c r="DM7" i="7"/>
  <c r="DP7" i="7"/>
  <c r="DQ7" i="7"/>
  <c r="DR7" i="7"/>
  <c r="DS7" i="7"/>
  <c r="DT7" i="7"/>
  <c r="DU7" i="7"/>
  <c r="DV7" i="7"/>
  <c r="DW7" i="7"/>
  <c r="DY7" i="7"/>
  <c r="DZ7" i="7"/>
  <c r="EA7" i="7"/>
  <c r="EB7" i="7"/>
  <c r="EC7" i="7"/>
  <c r="ED7" i="7"/>
  <c r="EE7" i="7"/>
  <c r="EF7" i="7"/>
  <c r="EG7" i="7"/>
  <c r="EH7" i="7"/>
  <c r="EI7" i="7"/>
  <c r="EJ7" i="7"/>
  <c r="EK7" i="7"/>
  <c r="EL7" i="7"/>
  <c r="EM7" i="7"/>
  <c r="EN7" i="7"/>
  <c r="EQ7" i="7"/>
  <c r="ER7" i="7"/>
  <c r="ES7" i="7"/>
  <c r="ET7" i="7"/>
  <c r="EU7" i="7"/>
  <c r="EV7" i="7"/>
  <c r="EW7" i="7"/>
  <c r="EX7" i="7"/>
  <c r="EZ7" i="7"/>
  <c r="FA7" i="7"/>
  <c r="FC7" i="7"/>
  <c r="FD7" i="7"/>
  <c r="FE7" i="7"/>
  <c r="FF7" i="7"/>
  <c r="FG7" i="7"/>
  <c r="FH7" i="7"/>
  <c r="FI7" i="7"/>
  <c r="FJ7" i="7"/>
  <c r="FK7" i="7"/>
  <c r="FL7" i="7"/>
  <c r="FM7" i="7"/>
  <c r="FN7" i="7"/>
  <c r="FO7" i="7"/>
  <c r="FR7" i="7"/>
  <c r="FS7" i="7"/>
  <c r="FT7" i="7"/>
  <c r="FU7" i="7"/>
  <c r="FV7" i="7"/>
  <c r="FW7" i="7"/>
  <c r="FX7" i="7"/>
  <c r="FY7" i="7"/>
  <c r="GA7" i="7"/>
  <c r="GB7" i="7"/>
  <c r="GC7" i="7"/>
  <c r="GD7" i="7"/>
  <c r="GE7" i="7"/>
  <c r="GF7" i="7"/>
  <c r="GG7" i="7"/>
  <c r="GH7" i="7"/>
  <c r="GI7" i="7"/>
  <c r="GJ7" i="7"/>
  <c r="GK7" i="7"/>
  <c r="GL7" i="7"/>
  <c r="GM7" i="7"/>
  <c r="GN7" i="7"/>
  <c r="GO7" i="7"/>
  <c r="GP7" i="7"/>
  <c r="GS7" i="7"/>
  <c r="GT7" i="7"/>
  <c r="GU7" i="7"/>
  <c r="GV7" i="7"/>
  <c r="GW7" i="7"/>
  <c r="GX7" i="7"/>
  <c r="GY7" i="7"/>
  <c r="GZ7" i="7"/>
  <c r="HA7" i="7"/>
  <c r="HB7" i="7"/>
  <c r="HC7" i="7"/>
  <c r="HD7" i="7"/>
  <c r="HE7" i="7"/>
  <c r="HF7" i="7"/>
  <c r="HG7" i="7"/>
  <c r="HH7" i="7"/>
  <c r="HI7" i="7"/>
  <c r="HJ7" i="7"/>
  <c r="HK7" i="7"/>
  <c r="HL7" i="7"/>
  <c r="HM7" i="7"/>
  <c r="HN7" i="7"/>
  <c r="HO7" i="7"/>
  <c r="HP7" i="7"/>
  <c r="HQ7" i="7"/>
  <c r="HR7" i="7"/>
  <c r="HS7" i="7"/>
  <c r="HT7" i="7"/>
  <c r="HU7" i="7"/>
  <c r="HV7" i="7"/>
  <c r="HW7" i="7"/>
  <c r="HX7" i="7"/>
  <c r="HY7" i="7"/>
  <c r="HZ7" i="7"/>
  <c r="IA7" i="7"/>
  <c r="IB7" i="7"/>
  <c r="IC7" i="7"/>
  <c r="ID7" i="7"/>
  <c r="IE7" i="7"/>
  <c r="IF7" i="7"/>
  <c r="IG7" i="7"/>
  <c r="IH7" i="7"/>
  <c r="II7" i="7"/>
  <c r="IJ7" i="7"/>
  <c r="IK7" i="7"/>
  <c r="IL7" i="7"/>
  <c r="IM7" i="7"/>
  <c r="IN7" i="7"/>
  <c r="IO7" i="7"/>
  <c r="IP7" i="7"/>
  <c r="IQ7" i="7"/>
  <c r="IR7" i="7"/>
  <c r="IS7" i="7"/>
  <c r="IV7" i="7"/>
  <c r="B6" i="7"/>
  <c r="C6" i="7"/>
  <c r="D6" i="7"/>
  <c r="E6" i="7"/>
  <c r="F6" i="7"/>
  <c r="G6" i="7"/>
  <c r="H6" i="7"/>
  <c r="J6" i="7"/>
  <c r="K6" i="7"/>
  <c r="L6" i="7"/>
  <c r="M6" i="7"/>
  <c r="N6" i="7"/>
  <c r="O6" i="7"/>
  <c r="P6" i="7"/>
  <c r="Q6" i="7"/>
  <c r="R6" i="7"/>
  <c r="S6" i="7"/>
  <c r="T6" i="7"/>
  <c r="U6" i="7"/>
  <c r="V6" i="7"/>
  <c r="Y6" i="7"/>
  <c r="Z6" i="7"/>
  <c r="AA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Z6" i="7"/>
  <c r="BA6" i="7"/>
  <c r="BB6" i="7"/>
  <c r="BC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BT6" i="7"/>
  <c r="BU6" i="7"/>
  <c r="BV6" i="7"/>
  <c r="BW6" i="7"/>
  <c r="BX6" i="7"/>
  <c r="CA6" i="7"/>
  <c r="CB6" i="7"/>
  <c r="CC6" i="7"/>
  <c r="CD6" i="7"/>
  <c r="CF6" i="7"/>
  <c r="CG6" i="7"/>
  <c r="CH6" i="7"/>
  <c r="CI6" i="7"/>
  <c r="CJ6" i="7"/>
  <c r="CK6" i="7"/>
  <c r="CM6" i="7"/>
  <c r="CN6" i="7"/>
  <c r="CO6" i="7"/>
  <c r="CP6" i="7"/>
  <c r="CQ6" i="7"/>
  <c r="CR6" i="7"/>
  <c r="CS6" i="7"/>
  <c r="CT6" i="7"/>
  <c r="CU6" i="7"/>
  <c r="CV6" i="7"/>
  <c r="CW6" i="7"/>
  <c r="CX6" i="7"/>
  <c r="CY6" i="7"/>
  <c r="DB6" i="7"/>
  <c r="DC6" i="7"/>
  <c r="DD6" i="7"/>
  <c r="DE6" i="7"/>
  <c r="DG6" i="7"/>
  <c r="DH6" i="7"/>
  <c r="DI6" i="7"/>
  <c r="DJ6" i="7"/>
  <c r="DK6" i="7"/>
  <c r="DL6" i="7"/>
  <c r="DM6" i="7"/>
  <c r="DN6" i="7"/>
  <c r="DO6" i="7"/>
  <c r="DP6" i="7"/>
  <c r="DQ6" i="7"/>
  <c r="DR6" i="7"/>
  <c r="DS6" i="7"/>
  <c r="DT6" i="7"/>
  <c r="DU6" i="7"/>
  <c r="DV6" i="7"/>
  <c r="DW6" i="7"/>
  <c r="DX6" i="7"/>
  <c r="DY6" i="7"/>
  <c r="DZ6" i="7"/>
  <c r="EC6" i="7"/>
  <c r="ED6" i="7"/>
  <c r="EE6" i="7"/>
  <c r="EF6" i="7"/>
  <c r="EG6" i="7"/>
  <c r="EI6" i="7"/>
  <c r="EJ6" i="7"/>
  <c r="EK6" i="7"/>
  <c r="EL6" i="7"/>
  <c r="EM6" i="7"/>
  <c r="EN6" i="7"/>
  <c r="EO6" i="7"/>
  <c r="EP6" i="7"/>
  <c r="EQ6" i="7"/>
  <c r="ER6" i="7"/>
  <c r="ES6" i="7"/>
  <c r="ET6" i="7"/>
  <c r="EU6" i="7"/>
  <c r="EV6" i="7"/>
  <c r="EW6" i="7"/>
  <c r="EX6" i="7"/>
  <c r="EY6" i="7"/>
  <c r="EZ6" i="7"/>
  <c r="FA6" i="7"/>
  <c r="FD6" i="7"/>
  <c r="FE6" i="7"/>
  <c r="FF6" i="7"/>
  <c r="FG6" i="7"/>
  <c r="FH6" i="7"/>
  <c r="FJ6" i="7"/>
  <c r="FK6" i="7"/>
  <c r="FL6" i="7"/>
  <c r="FM6" i="7"/>
  <c r="FN6" i="7"/>
  <c r="FP6" i="7"/>
  <c r="FQ6" i="7"/>
  <c r="FR6" i="7"/>
  <c r="FS6" i="7"/>
  <c r="FT6" i="7"/>
  <c r="FU6" i="7"/>
  <c r="FV6" i="7"/>
  <c r="FW6" i="7"/>
  <c r="FX6" i="7"/>
  <c r="FY6" i="7"/>
  <c r="FZ6" i="7"/>
  <c r="GA6" i="7"/>
  <c r="GB6" i="7"/>
  <c r="GE6" i="7"/>
  <c r="GF6" i="7"/>
  <c r="GG6" i="7"/>
  <c r="GH6" i="7"/>
  <c r="GI6" i="7"/>
  <c r="GK6" i="7"/>
  <c r="GL6" i="7"/>
  <c r="GM6" i="7"/>
  <c r="GN6" i="7"/>
  <c r="GO6" i="7"/>
  <c r="GP6" i="7"/>
  <c r="GQ6" i="7"/>
  <c r="GR6" i="7"/>
  <c r="GS6" i="7"/>
  <c r="GT6" i="7"/>
  <c r="GU6" i="7"/>
  <c r="GV6" i="7"/>
  <c r="GW6" i="7"/>
  <c r="GX6" i="7"/>
  <c r="GY6" i="7"/>
  <c r="GZ6" i="7"/>
  <c r="HA6" i="7"/>
  <c r="HB6" i="7"/>
  <c r="HC6" i="7"/>
  <c r="HF6" i="7"/>
  <c r="HG6" i="7"/>
  <c r="HH6" i="7"/>
  <c r="HI6" i="7"/>
  <c r="HJ6" i="7"/>
  <c r="HK6" i="7"/>
  <c r="HM6" i="7"/>
  <c r="HN6" i="7"/>
  <c r="HO6" i="7"/>
  <c r="HP6" i="7"/>
  <c r="HQ6" i="7"/>
  <c r="HR6" i="7"/>
  <c r="HS6" i="7"/>
  <c r="HT6" i="7"/>
  <c r="HU6" i="7"/>
  <c r="HV6" i="7"/>
  <c r="HW6" i="7"/>
  <c r="HX6" i="7"/>
  <c r="HY6" i="7"/>
  <c r="HZ6" i="7"/>
  <c r="IA6" i="7"/>
  <c r="IB6" i="7"/>
  <c r="IC6" i="7"/>
  <c r="ID6" i="7"/>
  <c r="IG6" i="7"/>
  <c r="IH6" i="7"/>
  <c r="II6" i="7"/>
  <c r="IJ6" i="7"/>
  <c r="IK6" i="7"/>
  <c r="IL6" i="7"/>
  <c r="IN6" i="7"/>
  <c r="IO6" i="7"/>
  <c r="IP6" i="7"/>
  <c r="IQ6" i="7"/>
  <c r="IS6" i="7"/>
  <c r="IT6" i="7"/>
  <c r="IU6" i="7"/>
  <c r="IV6" i="7"/>
  <c r="C5" i="7"/>
  <c r="D5" i="7"/>
  <c r="E5" i="7"/>
  <c r="F5" i="7"/>
  <c r="G5" i="7"/>
  <c r="H5" i="7"/>
  <c r="J5" i="7"/>
  <c r="L5" i="7"/>
  <c r="M5" i="7"/>
  <c r="N5" i="7"/>
  <c r="O5" i="7"/>
  <c r="P5" i="7"/>
  <c r="Q5" i="7"/>
  <c r="R5" i="7"/>
  <c r="S5" i="7"/>
  <c r="T5" i="7"/>
  <c r="U5" i="7"/>
  <c r="W5" i="7"/>
  <c r="AD5" i="7"/>
  <c r="AE5" i="7"/>
  <c r="AF5" i="7"/>
  <c r="AG5" i="7"/>
  <c r="AH5" i="7"/>
  <c r="AI5" i="7"/>
  <c r="AK5" i="7"/>
  <c r="AM5" i="7"/>
  <c r="AN5" i="7"/>
  <c r="AO5" i="7"/>
  <c r="AP5" i="7"/>
  <c r="AQ5" i="7"/>
  <c r="AR5" i="7"/>
  <c r="AS5" i="7"/>
  <c r="AT5" i="7"/>
  <c r="AU5" i="7"/>
  <c r="AV5" i="7"/>
  <c r="AW5" i="7"/>
  <c r="AX5" i="7"/>
  <c r="BE5" i="7"/>
  <c r="BF5" i="7"/>
  <c r="BG5" i="7"/>
  <c r="BH5" i="7"/>
  <c r="BI5" i="7"/>
  <c r="BJ5" i="7"/>
  <c r="BM5" i="7"/>
  <c r="BO5" i="7"/>
  <c r="BP5" i="7"/>
  <c r="BQ5" i="7"/>
  <c r="BR5" i="7"/>
  <c r="BS5" i="7"/>
  <c r="BT5" i="7"/>
  <c r="BU5" i="7"/>
  <c r="BV5" i="7"/>
  <c r="BW5" i="7"/>
  <c r="BX5" i="7"/>
  <c r="BY5" i="7"/>
  <c r="CF5" i="7"/>
  <c r="CG5" i="7"/>
  <c r="CH5" i="7"/>
  <c r="CI5" i="7"/>
  <c r="CJ5" i="7"/>
  <c r="CK5" i="7"/>
  <c r="CN5" i="7"/>
  <c r="CP5" i="7"/>
  <c r="CQ5" i="7"/>
  <c r="CR5" i="7"/>
  <c r="CS5" i="7"/>
  <c r="CT5" i="7"/>
  <c r="CU5" i="7"/>
  <c r="CV5" i="7"/>
  <c r="CW5" i="7"/>
  <c r="CX5" i="7"/>
  <c r="CZ5" i="7"/>
  <c r="DG5" i="7"/>
  <c r="DH5" i="7"/>
  <c r="DI5" i="7"/>
  <c r="DJ5" i="7"/>
  <c r="DK5" i="7"/>
  <c r="DL5" i="7"/>
  <c r="DO5" i="7"/>
  <c r="DQ5" i="7"/>
  <c r="DR5" i="7"/>
  <c r="DS5" i="7"/>
  <c r="DT5" i="7"/>
  <c r="DU5" i="7"/>
  <c r="DV5" i="7"/>
  <c r="DW5" i="7"/>
  <c r="DX5" i="7"/>
  <c r="DY5" i="7"/>
  <c r="DZ5" i="7"/>
  <c r="EA5" i="7"/>
  <c r="EH5" i="7"/>
  <c r="EI5" i="7"/>
  <c r="EJ5" i="7"/>
  <c r="EK5" i="7"/>
  <c r="EL5" i="7"/>
  <c r="EM5" i="7"/>
  <c r="EP5" i="7"/>
  <c r="EQ5" i="7"/>
  <c r="ES5" i="7"/>
  <c r="ET5" i="7"/>
  <c r="EU5" i="7"/>
  <c r="EV5" i="7"/>
  <c r="EW5" i="7"/>
  <c r="EX5" i="7"/>
  <c r="EY5" i="7"/>
  <c r="EZ5" i="7"/>
  <c r="FA5" i="7"/>
  <c r="FB5" i="7"/>
  <c r="FI5" i="7"/>
  <c r="FJ5" i="7"/>
  <c r="FK5" i="7"/>
  <c r="FL5" i="7"/>
  <c r="FM5" i="7"/>
  <c r="FN5" i="7"/>
  <c r="FQ5" i="7"/>
  <c r="FR5" i="7"/>
  <c r="FT5" i="7"/>
  <c r="FU5" i="7"/>
  <c r="FV5" i="7"/>
  <c r="FW5" i="7"/>
  <c r="FX5" i="7"/>
  <c r="FY5" i="7"/>
  <c r="FZ5" i="7"/>
  <c r="GA5" i="7"/>
  <c r="GC5" i="7"/>
  <c r="GJ5" i="7"/>
  <c r="GK5" i="7"/>
  <c r="GL5" i="7"/>
  <c r="GM5" i="7"/>
  <c r="GN5" i="7"/>
  <c r="GO5" i="7"/>
  <c r="GR5" i="7"/>
  <c r="GS5" i="7"/>
  <c r="GU5" i="7"/>
  <c r="GV5" i="7"/>
  <c r="GW5" i="7"/>
  <c r="GX5" i="7"/>
  <c r="GY5" i="7"/>
  <c r="GZ5" i="7"/>
  <c r="HA5" i="7"/>
  <c r="HB5" i="7"/>
  <c r="HC5" i="7"/>
  <c r="HD5" i="7"/>
  <c r="HE5" i="7"/>
  <c r="HF5" i="7"/>
  <c r="HH5" i="7"/>
  <c r="HJ5" i="7"/>
  <c r="HK5" i="7"/>
  <c r="HL5" i="7"/>
  <c r="HM5" i="7"/>
  <c r="HN5" i="7"/>
  <c r="HO5" i="7"/>
  <c r="HP5" i="7"/>
  <c r="HS5" i="7"/>
  <c r="HT5" i="7"/>
  <c r="HU5" i="7"/>
  <c r="HW5" i="7"/>
  <c r="HX5" i="7"/>
  <c r="HY5" i="7"/>
  <c r="HZ5" i="7"/>
  <c r="IA5" i="7"/>
  <c r="IB5" i="7"/>
  <c r="IC5" i="7"/>
  <c r="ID5" i="7"/>
  <c r="IE5" i="7"/>
  <c r="IF5" i="7"/>
  <c r="IG5" i="7"/>
  <c r="IH5" i="7"/>
  <c r="II5" i="7"/>
  <c r="IJ5" i="7"/>
  <c r="IK5" i="7"/>
  <c r="IL5" i="7"/>
  <c r="IM5" i="7"/>
  <c r="IN5" i="7"/>
  <c r="IO5" i="7"/>
  <c r="IP5" i="7"/>
  <c r="IQ5" i="7"/>
  <c r="IT5" i="7"/>
  <c r="IU5" i="7"/>
  <c r="IV5" i="7"/>
  <c r="A4" i="7"/>
  <c r="B4" i="7"/>
  <c r="C4" i="7"/>
  <c r="D4" i="7"/>
  <c r="F4" i="7"/>
  <c r="G4" i="7"/>
  <c r="I4" i="7"/>
  <c r="J4" i="7"/>
  <c r="K4" i="7"/>
  <c r="L4" i="7"/>
  <c r="M4" i="7"/>
  <c r="N4" i="7"/>
  <c r="O4" i="7"/>
  <c r="Q4" i="7"/>
  <c r="R4" i="7"/>
  <c r="S4" i="7"/>
  <c r="T4" i="7"/>
  <c r="U4" i="7"/>
  <c r="X4" i="7"/>
  <c r="Y4" i="7"/>
  <c r="Z4" i="7"/>
  <c r="AA4" i="7"/>
  <c r="AB4" i="7"/>
  <c r="AC4" i="7"/>
  <c r="AD4" i="7"/>
  <c r="AE4" i="7"/>
  <c r="AG4" i="7"/>
  <c r="AH4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AY4" i="7"/>
  <c r="AZ4" i="7"/>
  <c r="BA4" i="7"/>
  <c r="BB4" i="7"/>
  <c r="BC4" i="7"/>
  <c r="BD4" i="7"/>
  <c r="BE4" i="7"/>
  <c r="BF4" i="7"/>
  <c r="BG4" i="7"/>
  <c r="BH4" i="7"/>
  <c r="BI4" i="7"/>
  <c r="BJ4" i="7"/>
  <c r="BK4" i="7"/>
  <c r="BL4" i="7"/>
  <c r="BM4" i="7"/>
  <c r="BN4" i="7"/>
  <c r="BO4" i="7"/>
  <c r="BP4" i="7"/>
  <c r="BQ4" i="7"/>
  <c r="BR4" i="7"/>
  <c r="BS4" i="7"/>
  <c r="BT4" i="7"/>
  <c r="BU4" i="7"/>
  <c r="BV4" i="7"/>
  <c r="BW4" i="7"/>
  <c r="BX4" i="7"/>
  <c r="BY4" i="7"/>
  <c r="BZ4" i="7"/>
  <c r="CA4" i="7"/>
  <c r="CB4" i="7"/>
  <c r="CC4" i="7"/>
  <c r="CD4" i="7"/>
  <c r="CE4" i="7"/>
  <c r="CF4" i="7"/>
  <c r="CG4" i="7"/>
  <c r="CH4" i="7"/>
  <c r="CI4" i="7"/>
  <c r="CJ4" i="7"/>
  <c r="CK4" i="7"/>
  <c r="CL4" i="7"/>
  <c r="CM4" i="7"/>
  <c r="CN4" i="7"/>
  <c r="CO4" i="7"/>
  <c r="CP4" i="7"/>
  <c r="CQ4" i="7"/>
  <c r="CR4" i="7"/>
  <c r="CS4" i="7"/>
  <c r="CT4" i="7"/>
  <c r="CU4" i="7"/>
  <c r="CV4" i="7"/>
  <c r="CW4" i="7"/>
  <c r="CX4" i="7"/>
  <c r="CY4" i="7"/>
  <c r="CZ4" i="7"/>
  <c r="DA4" i="7"/>
  <c r="DB4" i="7"/>
  <c r="DC4" i="7"/>
  <c r="DD4" i="7"/>
  <c r="DE4" i="7"/>
  <c r="DF4" i="7"/>
  <c r="DG4" i="7"/>
  <c r="DH4" i="7"/>
  <c r="DI4" i="7"/>
  <c r="DJ4" i="7"/>
  <c r="DK4" i="7"/>
  <c r="DL4" i="7"/>
  <c r="DM4" i="7"/>
  <c r="DN4" i="7"/>
  <c r="DO4" i="7"/>
  <c r="DP4" i="7"/>
  <c r="DQ4" i="7"/>
  <c r="DR4" i="7"/>
  <c r="DS4" i="7"/>
  <c r="DT4" i="7"/>
  <c r="DU4" i="7"/>
  <c r="DV4" i="7"/>
  <c r="DX4" i="7"/>
  <c r="DY4" i="7"/>
  <c r="DZ4" i="7"/>
  <c r="EA4" i="7"/>
  <c r="EC4" i="7"/>
  <c r="ED4" i="7"/>
  <c r="EE4" i="7"/>
  <c r="EF4" i="7"/>
  <c r="EG4" i="7"/>
  <c r="EH4" i="7"/>
  <c r="EI4" i="7"/>
  <c r="EJ4" i="7"/>
  <c r="EK4" i="7"/>
  <c r="EL4" i="7"/>
  <c r="EM4" i="7"/>
  <c r="EN4" i="7"/>
  <c r="EU4" i="7"/>
  <c r="EV4" i="7"/>
  <c r="EW4" i="7"/>
  <c r="EX4" i="7"/>
  <c r="EY4" i="7"/>
  <c r="EZ4" i="7"/>
  <c r="FB4" i="7"/>
  <c r="FD4" i="7"/>
  <c r="FE4" i="7"/>
  <c r="FF4" i="7"/>
  <c r="FG4" i="7"/>
  <c r="FH4" i="7"/>
  <c r="FI4" i="7"/>
  <c r="FJ4" i="7"/>
  <c r="FK4" i="7"/>
  <c r="FL4" i="7"/>
  <c r="FM4" i="7"/>
  <c r="FN4" i="7"/>
  <c r="FO4" i="7"/>
  <c r="FP4" i="7"/>
  <c r="FQ4" i="7"/>
  <c r="FR4" i="7"/>
  <c r="FS4" i="7"/>
  <c r="FT4" i="7"/>
  <c r="FU4" i="7"/>
  <c r="FV4" i="7"/>
  <c r="FW4" i="7"/>
  <c r="FX4" i="7"/>
  <c r="FY4" i="7"/>
  <c r="FZ4" i="7"/>
  <c r="GA4" i="7"/>
  <c r="GB4" i="7"/>
  <c r="GC4" i="7"/>
  <c r="GM4" i="7"/>
  <c r="GN4" i="7"/>
  <c r="GO4" i="7"/>
  <c r="GP4" i="7"/>
  <c r="GQ4" i="7"/>
  <c r="GR4" i="7"/>
  <c r="GS4" i="7"/>
  <c r="GT4" i="7"/>
  <c r="GU4" i="7"/>
  <c r="GV4" i="7"/>
  <c r="GW4" i="7"/>
  <c r="GX4" i="7"/>
  <c r="GY4" i="7"/>
  <c r="GZ4" i="7"/>
  <c r="HA4" i="7"/>
  <c r="HB4" i="7"/>
  <c r="HC4" i="7"/>
  <c r="HD4" i="7"/>
  <c r="HE4" i="7"/>
  <c r="HF4" i="7"/>
  <c r="HG4" i="7"/>
  <c r="HH4" i="7"/>
  <c r="HI4" i="7"/>
  <c r="HJ4" i="7"/>
  <c r="HK4" i="7"/>
  <c r="HL4" i="7"/>
  <c r="HM4" i="7"/>
  <c r="HN4" i="7"/>
  <c r="HO4" i="7"/>
  <c r="HP4" i="7"/>
  <c r="HQ4" i="7"/>
  <c r="HT4" i="7"/>
  <c r="HV4" i="7"/>
  <c r="HX4" i="7"/>
  <c r="HY4" i="7"/>
  <c r="HZ4" i="7"/>
  <c r="IA4" i="7"/>
  <c r="IB4" i="7"/>
  <c r="IC4" i="7"/>
  <c r="ID4" i="7"/>
  <c r="IE4" i="7"/>
  <c r="IG4" i="7"/>
  <c r="IH4" i="7"/>
  <c r="II4" i="7"/>
  <c r="IJ4" i="7"/>
  <c r="IK4" i="7"/>
  <c r="IL4" i="7"/>
  <c r="IM4" i="7"/>
  <c r="IN4" i="7"/>
  <c r="IO4" i="7"/>
  <c r="IP4" i="7"/>
  <c r="IQ4" i="7"/>
  <c r="IR4" i="7"/>
  <c r="A3" i="7"/>
  <c r="B3" i="7"/>
  <c r="C3" i="7"/>
  <c r="D3" i="7"/>
  <c r="E3" i="7"/>
  <c r="F3" i="7"/>
  <c r="G3" i="7"/>
  <c r="J3" i="7"/>
  <c r="K3" i="7"/>
  <c r="L3" i="7"/>
  <c r="M3" i="7"/>
  <c r="N3" i="7"/>
  <c r="P3" i="7"/>
  <c r="Q3" i="7"/>
  <c r="R3" i="7"/>
  <c r="S3" i="7"/>
  <c r="T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K3" i="7"/>
  <c r="AL3" i="7"/>
  <c r="AM3" i="7"/>
  <c r="AN3" i="7"/>
  <c r="AO3" i="7"/>
  <c r="AQ3" i="7"/>
  <c r="AR3" i="7"/>
  <c r="AS3" i="7"/>
  <c r="AT3" i="7"/>
  <c r="AU3" i="7"/>
  <c r="AV3" i="7"/>
  <c r="AW3" i="7"/>
  <c r="AX3" i="7"/>
  <c r="AY3" i="7"/>
  <c r="AZ3" i="7"/>
  <c r="BA3" i="7"/>
  <c r="BB3" i="7"/>
  <c r="BC3" i="7"/>
  <c r="BD3" i="7"/>
  <c r="BE3" i="7"/>
  <c r="BF3" i="7"/>
  <c r="BG3" i="7"/>
  <c r="BH3" i="7"/>
  <c r="BI3" i="7"/>
  <c r="BL3" i="7"/>
  <c r="BM3" i="7"/>
  <c r="BN3" i="7"/>
  <c r="BO3" i="7"/>
  <c r="BP3" i="7"/>
  <c r="BQ3" i="7"/>
  <c r="BS3" i="7"/>
  <c r="BT3" i="7"/>
  <c r="BU3" i="7"/>
  <c r="BV3" i="7"/>
  <c r="BW3" i="7"/>
  <c r="BX3" i="7"/>
  <c r="BY3" i="7"/>
  <c r="BZ3" i="7"/>
  <c r="CA3" i="7"/>
  <c r="CB3" i="7"/>
  <c r="CC3" i="7"/>
  <c r="CD3" i="7"/>
  <c r="CE3" i="7"/>
  <c r="CF3" i="7"/>
  <c r="CG3" i="7"/>
  <c r="CH3" i="7"/>
  <c r="CI3" i="7"/>
  <c r="CJ3" i="7"/>
  <c r="CM3" i="7"/>
  <c r="CN3" i="7"/>
  <c r="CO3" i="7"/>
  <c r="CP3" i="7"/>
  <c r="CQ3" i="7"/>
  <c r="CR3" i="7"/>
  <c r="CT3" i="7"/>
  <c r="CU3" i="7"/>
  <c r="CV3" i="7"/>
  <c r="CW3" i="7"/>
  <c r="CY3" i="7"/>
  <c r="CZ3" i="7"/>
  <c r="DA3" i="7"/>
  <c r="DB3" i="7"/>
  <c r="DC3" i="7"/>
  <c r="DD3" i="7"/>
  <c r="DE3" i="7"/>
  <c r="DF3" i="7"/>
  <c r="DG3" i="7"/>
  <c r="DH3" i="7"/>
  <c r="DI3" i="7"/>
  <c r="DJ3" i="7"/>
  <c r="DK3" i="7"/>
  <c r="DN3" i="7"/>
  <c r="DO3" i="7"/>
  <c r="DP3" i="7"/>
  <c r="DQ3" i="7"/>
  <c r="DR3" i="7"/>
  <c r="DS3" i="7"/>
  <c r="DU3" i="7"/>
  <c r="DV3" i="7"/>
  <c r="DW3" i="7"/>
  <c r="DX3" i="7"/>
  <c r="DY3" i="7"/>
  <c r="DZ3" i="7"/>
  <c r="EA3" i="7"/>
  <c r="EB3" i="7"/>
  <c r="EC3" i="7"/>
  <c r="ED3" i="7"/>
  <c r="EE3" i="7"/>
  <c r="EF3" i="7"/>
  <c r="EG3" i="7"/>
  <c r="EH3" i="7"/>
  <c r="EI3" i="7"/>
  <c r="EJ3" i="7"/>
  <c r="EK3" i="7"/>
  <c r="EL3" i="7"/>
  <c r="EO3" i="7"/>
  <c r="EP3" i="7"/>
  <c r="EQ3" i="7"/>
  <c r="ER3" i="7"/>
  <c r="ES3" i="7"/>
  <c r="ET3" i="7"/>
  <c r="EU3" i="7"/>
  <c r="EW3" i="7"/>
  <c r="EX3" i="7"/>
  <c r="EY3" i="7"/>
  <c r="EZ3" i="7"/>
  <c r="FA3" i="7"/>
  <c r="FB3" i="7"/>
  <c r="FC3" i="7"/>
  <c r="FD3" i="7"/>
  <c r="FE3" i="7"/>
  <c r="FF3" i="7"/>
  <c r="FG3" i="7"/>
  <c r="FH3" i="7"/>
  <c r="FI3" i="7"/>
  <c r="FJ3" i="7"/>
  <c r="FK3" i="7"/>
  <c r="FL3" i="7"/>
  <c r="FM3" i="7"/>
  <c r="FP3" i="7"/>
  <c r="FQ3" i="7"/>
  <c r="FR3" i="7"/>
  <c r="FS3" i="7"/>
  <c r="FT3" i="7"/>
  <c r="FU3" i="7"/>
  <c r="FV3" i="7"/>
  <c r="FX3" i="7"/>
  <c r="FY3" i="7"/>
  <c r="FZ3" i="7"/>
  <c r="GB3" i="7"/>
  <c r="GC3" i="7"/>
  <c r="GD3" i="7"/>
  <c r="GE3" i="7"/>
  <c r="GF3" i="7"/>
  <c r="GG3" i="7"/>
  <c r="GH3" i="7"/>
  <c r="GI3" i="7"/>
  <c r="GJ3" i="7"/>
  <c r="GK3" i="7"/>
  <c r="GL3" i="7"/>
  <c r="GM3" i="7"/>
  <c r="GN3" i="7"/>
  <c r="GQ3" i="7"/>
  <c r="GR3" i="7"/>
  <c r="GS3" i="7"/>
  <c r="GT3" i="7"/>
  <c r="GU3" i="7"/>
  <c r="GV3" i="7"/>
  <c r="GW3" i="7"/>
  <c r="GY3" i="7"/>
  <c r="GZ3" i="7"/>
  <c r="HA3" i="7"/>
  <c r="HB3" i="7"/>
  <c r="HC3" i="7"/>
  <c r="HD3" i="7"/>
  <c r="HE3" i="7"/>
  <c r="HF3" i="7"/>
  <c r="HG3" i="7"/>
  <c r="HH3" i="7"/>
  <c r="HI3" i="7"/>
  <c r="HJ3" i="7"/>
  <c r="HK3" i="7"/>
  <c r="HL3" i="7"/>
  <c r="HM3" i="7"/>
  <c r="HN3" i="7"/>
  <c r="HO3" i="7"/>
  <c r="HR3" i="7"/>
  <c r="HS3" i="7"/>
  <c r="HT3" i="7"/>
  <c r="HU3" i="7"/>
  <c r="HV3" i="7"/>
  <c r="HW3" i="7"/>
  <c r="HX3" i="7"/>
  <c r="HY3" i="7"/>
  <c r="IA3" i="7"/>
  <c r="IB3" i="7"/>
  <c r="IC3" i="7"/>
  <c r="ID3" i="7"/>
  <c r="IE3" i="7"/>
  <c r="IF3" i="7"/>
  <c r="IG3" i="7"/>
  <c r="IH3" i="7"/>
  <c r="II3" i="7"/>
  <c r="IJ3" i="7"/>
  <c r="IK3" i="7"/>
  <c r="IL3" i="7"/>
  <c r="IM3" i="7"/>
  <c r="IN3" i="7"/>
  <c r="IO3" i="7"/>
  <c r="IP3" i="7"/>
  <c r="IS3" i="7"/>
  <c r="IT3" i="7"/>
  <c r="IU3" i="7"/>
  <c r="IV3" i="7"/>
  <c r="A2" i="7"/>
  <c r="B2" i="7"/>
  <c r="C2" i="7"/>
  <c r="D2" i="7"/>
  <c r="E2" i="7"/>
  <c r="F2" i="7"/>
  <c r="G2" i="7"/>
  <c r="H2" i="7"/>
  <c r="O2" i="7"/>
  <c r="P2" i="7"/>
  <c r="Q2" i="7"/>
  <c r="S2" i="7"/>
  <c r="T2" i="7"/>
  <c r="W2" i="7"/>
  <c r="X2" i="7"/>
  <c r="Z2" i="7"/>
  <c r="AA2" i="7"/>
  <c r="AB2" i="7"/>
  <c r="AC2" i="7"/>
  <c r="AD2" i="7"/>
  <c r="AE2" i="7"/>
  <c r="AF2" i="7"/>
  <c r="AG2" i="7"/>
  <c r="AI2" i="7"/>
  <c r="AP2" i="7"/>
  <c r="AQ2" i="7"/>
  <c r="AR2" i="7"/>
  <c r="AS2" i="7"/>
  <c r="AT2" i="7"/>
  <c r="AU2" i="7"/>
  <c r="AX2" i="7"/>
  <c r="AY2" i="7"/>
  <c r="BA2" i="7"/>
  <c r="BB2" i="7"/>
  <c r="BC2" i="7"/>
  <c r="BD2" i="7"/>
  <c r="BE2" i="7"/>
  <c r="BF2" i="7"/>
  <c r="BG2" i="7"/>
  <c r="BH2" i="7"/>
  <c r="BI2" i="7"/>
  <c r="BJ2" i="7"/>
  <c r="BK2" i="7"/>
  <c r="BL2" i="7"/>
  <c r="BN2" i="7"/>
  <c r="BP2" i="7"/>
  <c r="BQ2" i="7"/>
  <c r="BR2" i="7"/>
  <c r="BS2" i="7"/>
  <c r="BT2" i="7"/>
  <c r="BU2" i="7"/>
  <c r="BV2" i="7"/>
  <c r="BY2" i="7"/>
  <c r="BZ2" i="7"/>
  <c r="CA2" i="7"/>
  <c r="CC2" i="7"/>
  <c r="CD2" i="7"/>
  <c r="CE2" i="7"/>
  <c r="CF2" i="7"/>
  <c r="CG2" i="7"/>
  <c r="CH2" i="7"/>
  <c r="CI2" i="7"/>
  <c r="CJ2" i="7"/>
  <c r="CK2" i="7"/>
  <c r="CL2" i="7"/>
  <c r="CM2" i="7"/>
  <c r="CN2" i="7"/>
  <c r="CO2" i="7"/>
  <c r="CP2" i="7"/>
  <c r="CQ2" i="7"/>
  <c r="CR2" i="7"/>
  <c r="CS2" i="7"/>
  <c r="CT2" i="7"/>
  <c r="CU2" i="7"/>
  <c r="CV2" i="7"/>
  <c r="CW2" i="7"/>
  <c r="CZ2" i="7"/>
  <c r="DA2" i="7"/>
  <c r="DB2" i="7"/>
  <c r="DD2" i="7"/>
  <c r="DE2" i="7"/>
  <c r="DF2" i="7"/>
  <c r="DG2" i="7"/>
  <c r="DH2" i="7"/>
  <c r="DI2" i="7"/>
  <c r="DJ2" i="7"/>
  <c r="DL2" i="7"/>
  <c r="DM2" i="7"/>
  <c r="DN2" i="7"/>
  <c r="DO2" i="7"/>
  <c r="DP2" i="7"/>
  <c r="DQ2" i="7"/>
  <c r="DR2" i="7"/>
  <c r="DS2" i="7"/>
  <c r="DT2" i="7"/>
  <c r="DU2" i="7"/>
  <c r="DV2" i="7"/>
  <c r="DW2" i="7"/>
  <c r="DX2" i="7"/>
  <c r="EA2" i="7"/>
  <c r="EB2" i="7"/>
  <c r="EC2" i="7"/>
  <c r="EE2" i="7"/>
  <c r="EF2" i="7"/>
  <c r="EG2" i="7"/>
  <c r="EH2" i="7"/>
  <c r="EI2" i="7"/>
  <c r="EJ2" i="7"/>
  <c r="EK2" i="7"/>
  <c r="EL2" i="7"/>
  <c r="EM2" i="7"/>
  <c r="EN2" i="7"/>
  <c r="EO2" i="7"/>
  <c r="EP2" i="7"/>
  <c r="EQ2" i="7"/>
  <c r="ER2" i="7"/>
  <c r="ES2" i="7"/>
  <c r="ET2" i="7"/>
  <c r="EU2" i="7"/>
  <c r="EV2" i="7"/>
  <c r="EW2" i="7"/>
  <c r="EX2" i="7"/>
  <c r="EY2" i="7"/>
  <c r="FB2" i="7"/>
  <c r="FC2" i="7"/>
  <c r="FD2" i="7"/>
  <c r="FE2" i="7"/>
  <c r="FG2" i="7"/>
  <c r="FH2" i="7"/>
  <c r="FI2" i="7"/>
  <c r="FJ2" i="7"/>
  <c r="FK2" i="7"/>
  <c r="FL2" i="7"/>
  <c r="FM2" i="7"/>
  <c r="FN2" i="7"/>
  <c r="FO2" i="7"/>
  <c r="FP2" i="7"/>
  <c r="FQ2" i="7"/>
  <c r="FR2" i="7"/>
  <c r="FS2" i="7"/>
  <c r="FT2" i="7"/>
  <c r="FU2" i="7"/>
  <c r="FV2" i="7"/>
  <c r="FW2" i="7"/>
  <c r="FX2" i="7"/>
  <c r="FY2" i="7"/>
  <c r="FZ2" i="7"/>
  <c r="GC2" i="7"/>
  <c r="GD2" i="7"/>
  <c r="GE2" i="7"/>
  <c r="GF2" i="7"/>
  <c r="GH2" i="7"/>
  <c r="GI2" i="7"/>
  <c r="GJ2" i="7"/>
  <c r="GK2" i="7"/>
  <c r="GL2" i="7"/>
  <c r="GM2" i="7"/>
  <c r="GO2" i="7"/>
  <c r="GP2" i="7"/>
  <c r="GQ2" i="7"/>
  <c r="GR2" i="7"/>
  <c r="GS2" i="7"/>
  <c r="GT2" i="7"/>
  <c r="GU2" i="7"/>
  <c r="GV2" i="7"/>
  <c r="GW2" i="7"/>
  <c r="GX2" i="7"/>
  <c r="GY2" i="7"/>
  <c r="GZ2" i="7"/>
  <c r="HA2" i="7"/>
  <c r="HD2" i="7"/>
  <c r="HE2" i="7"/>
  <c r="HF2" i="7"/>
  <c r="HG2" i="7"/>
  <c r="HI2" i="7"/>
  <c r="HJ2" i="7"/>
  <c r="HK2" i="7"/>
  <c r="HL2" i="7"/>
  <c r="HM2" i="7"/>
  <c r="HN2" i="7"/>
  <c r="HO2" i="7"/>
  <c r="HP2" i="7"/>
  <c r="HQ2" i="7"/>
  <c r="HR2" i="7"/>
  <c r="HS2" i="7"/>
  <c r="HT2" i="7"/>
  <c r="HU2" i="7"/>
  <c r="HV2" i="7"/>
  <c r="HW2" i="7"/>
  <c r="HX2" i="7"/>
  <c r="HY2" i="7"/>
  <c r="HZ2" i="7"/>
  <c r="IA2" i="7"/>
  <c r="IB2" i="7"/>
  <c r="IE2" i="7"/>
  <c r="IF2" i="7"/>
  <c r="IG2" i="7"/>
  <c r="IH2" i="7"/>
  <c r="II2" i="7"/>
  <c r="IK2" i="7"/>
  <c r="IL2" i="7"/>
  <c r="IM2" i="7"/>
  <c r="IN2" i="7"/>
  <c r="IO2" i="7"/>
  <c r="IP2" i="7"/>
  <c r="IQ2" i="7"/>
  <c r="IR2" i="7"/>
  <c r="IS2" i="7"/>
  <c r="IT2" i="7"/>
  <c r="IU2" i="7"/>
  <c r="IV2" i="7"/>
  <c r="A1" i="7"/>
  <c r="B1" i="7"/>
  <c r="C1" i="7"/>
  <c r="D1" i="7"/>
  <c r="E1" i="7"/>
  <c r="F1" i="7"/>
  <c r="H1" i="7"/>
  <c r="J1" i="7"/>
  <c r="K1" i="7"/>
  <c r="L1" i="7"/>
  <c r="M1" i="7"/>
  <c r="N1" i="7"/>
  <c r="O1" i="7"/>
  <c r="P1" i="7"/>
  <c r="Q1" i="7"/>
  <c r="R1" i="7"/>
  <c r="S1" i="7"/>
  <c r="T1" i="7"/>
  <c r="U1" i="7"/>
  <c r="V1" i="7"/>
  <c r="W1" i="7"/>
  <c r="X1" i="7"/>
  <c r="Y1" i="7"/>
  <c r="Z1" i="7"/>
  <c r="AA1" i="7"/>
  <c r="AB1" i="7"/>
  <c r="AC1" i="7"/>
  <c r="AD1" i="7"/>
  <c r="AE1" i="7"/>
  <c r="AF1" i="7"/>
  <c r="AG1" i="7"/>
  <c r="AH1" i="7"/>
  <c r="AI1" i="7"/>
  <c r="AS1" i="7"/>
  <c r="AT1" i="7"/>
  <c r="AU1" i="7"/>
  <c r="AV1" i="7"/>
  <c r="AW1" i="7"/>
  <c r="AX1" i="7"/>
  <c r="AY1" i="7"/>
  <c r="AZ1" i="7"/>
  <c r="BA1" i="7"/>
  <c r="BB1" i="7"/>
  <c r="BC1" i="7"/>
  <c r="BD1" i="7"/>
  <c r="BE1" i="7"/>
  <c r="BG1" i="7"/>
  <c r="BH1" i="7"/>
  <c r="BI1" i="7"/>
  <c r="BJ1" i="7"/>
  <c r="BK1" i="7"/>
  <c r="BL1" i="7"/>
  <c r="BM1" i="7"/>
  <c r="BN1" i="7"/>
  <c r="BO1" i="7"/>
  <c r="BP1" i="7"/>
  <c r="BQ1" i="7"/>
  <c r="BR1" i="7"/>
  <c r="BS1" i="7"/>
  <c r="BT1" i="7"/>
  <c r="BU1" i="7"/>
  <c r="BV1" i="7"/>
  <c r="BW1" i="7"/>
  <c r="BZ1" i="7"/>
  <c r="CB1" i="7"/>
  <c r="CD1" i="7"/>
  <c r="CE1" i="7"/>
  <c r="CF1" i="7"/>
  <c r="CH1" i="7"/>
  <c r="CI1" i="7"/>
  <c r="CJ1" i="7"/>
  <c r="CK1" i="7"/>
  <c r="CM1" i="7"/>
  <c r="CN1" i="7"/>
  <c r="CO1" i="7"/>
  <c r="CP1" i="7"/>
  <c r="CQ1" i="7"/>
  <c r="CR1" i="7"/>
  <c r="CS1" i="7"/>
  <c r="CT1" i="7"/>
  <c r="CU1" i="7"/>
  <c r="CV1" i="7"/>
  <c r="CW1" i="7"/>
  <c r="CX1" i="7"/>
  <c r="DE1" i="7"/>
  <c r="DF1" i="7"/>
  <c r="DG1" i="7"/>
  <c r="DI1" i="7"/>
  <c r="DJ1" i="7"/>
  <c r="DL1" i="7"/>
  <c r="DN1" i="7"/>
  <c r="DO1" i="7"/>
  <c r="DP1" i="7"/>
  <c r="DQ1" i="7"/>
  <c r="DR1" i="7"/>
  <c r="DS1" i="7"/>
  <c r="DT1" i="7"/>
  <c r="DU1" i="7"/>
  <c r="DV1" i="7"/>
  <c r="DW1" i="7"/>
  <c r="DY1" i="7"/>
  <c r="EF1" i="7"/>
  <c r="EG1" i="7"/>
  <c r="EH1" i="7"/>
  <c r="EJ1" i="7"/>
  <c r="EK1" i="7"/>
  <c r="EM1" i="7"/>
  <c r="EO1" i="7"/>
  <c r="EP1" i="7"/>
  <c r="EQ1" i="7"/>
  <c r="ER1" i="7"/>
  <c r="ES1" i="7"/>
  <c r="ET1" i="7"/>
  <c r="EU1" i="7"/>
  <c r="EV1" i="7"/>
  <c r="EW1" i="7"/>
  <c r="EX1" i="7"/>
  <c r="EY1" i="7"/>
  <c r="EZ1" i="7"/>
  <c r="FG1" i="7"/>
  <c r="FH1" i="7"/>
  <c r="FI1" i="7"/>
  <c r="FK1" i="7"/>
  <c r="FL1" i="7"/>
  <c r="FO1" i="7"/>
  <c r="FQ1" i="7"/>
  <c r="FR1" i="7"/>
  <c r="FS1" i="7"/>
  <c r="FT1" i="7"/>
  <c r="FU1" i="7"/>
  <c r="FV1" i="7"/>
  <c r="FW1" i="7"/>
  <c r="FX1" i="7"/>
  <c r="FY1" i="7"/>
  <c r="FZ1" i="7"/>
  <c r="GA1" i="7"/>
  <c r="GH1" i="7"/>
  <c r="GI1" i="7"/>
  <c r="GJ1" i="7"/>
  <c r="GL1" i="7"/>
  <c r="GM1" i="7"/>
  <c r="GP1" i="7"/>
  <c r="GR1" i="7"/>
  <c r="GS1" i="7"/>
  <c r="GT1" i="7"/>
  <c r="GU1" i="7"/>
  <c r="GV1" i="7"/>
  <c r="GW1" i="7"/>
  <c r="GX1" i="7"/>
  <c r="GY1" i="7"/>
  <c r="GZ1" i="7"/>
  <c r="HB1" i="7"/>
  <c r="HI1" i="7"/>
  <c r="HJ1" i="7"/>
  <c r="HK1" i="7"/>
  <c r="HM1" i="7"/>
  <c r="HN1" i="7"/>
  <c r="HQ1" i="7"/>
  <c r="HS1" i="7"/>
  <c r="HT1" i="7"/>
  <c r="HU1" i="7"/>
  <c r="HV1" i="7"/>
  <c r="HW1" i="7"/>
  <c r="HX1" i="7"/>
  <c r="HY1" i="7"/>
  <c r="HZ1" i="7"/>
  <c r="IA1" i="7"/>
  <c r="IB1" i="7"/>
  <c r="IC1" i="7"/>
  <c r="IJ1" i="7"/>
  <c r="IK1" i="7"/>
  <c r="IL1" i="7"/>
  <c r="IN1" i="7"/>
  <c r="IO1" i="7"/>
  <c r="IR1" i="7"/>
  <c r="IS1" i="7"/>
  <c r="IU1" i="7"/>
  <c r="IV1" i="7"/>
  <c r="H21" i="8" l="1"/>
  <c r="H24" i="8" s="1"/>
  <c r="H27" i="8" s="1"/>
  <c r="H30" i="8" s="1"/>
  <c r="G14" i="8"/>
  <c r="G12" i="8"/>
  <c r="H13" i="8"/>
  <c r="H16" i="8" s="1"/>
  <c r="H19" i="8" s="1"/>
  <c r="H22" i="8" s="1"/>
  <c r="H25" i="8" s="1"/>
  <c r="H28" i="8" s="1"/>
  <c r="H31" i="8" s="1"/>
  <c r="H32" i="8" s="1"/>
  <c r="AA5" i="8"/>
  <c r="Z6" i="8" s="1"/>
  <c r="AA6" i="8" s="1"/>
  <c r="Z7" i="8" s="1"/>
  <c r="AA7" i="8" s="1"/>
  <c r="Z8" i="8" s="1"/>
  <c r="AA8" i="8" s="1"/>
  <c r="Z9" i="8" s="1"/>
  <c r="AA9" i="8" s="1"/>
  <c r="Z10" i="8" s="1"/>
  <c r="AA10" i="8" s="1"/>
  <c r="Z11" i="8" s="1"/>
  <c r="AA11" i="8" s="1"/>
  <c r="Z12" i="8" s="1"/>
  <c r="AA12" i="8" s="1"/>
  <c r="Z13" i="8" s="1"/>
  <c r="HJ8" i="7"/>
  <c r="HH8" i="7"/>
  <c r="GZ8" i="7"/>
  <c r="GP8" i="7"/>
  <c r="GO8" i="7"/>
  <c r="GN8" i="7"/>
  <c r="GF8" i="7"/>
  <c r="FV8" i="7"/>
  <c r="FU8" i="7"/>
  <c r="FT8" i="7"/>
  <c r="FL8" i="7"/>
  <c r="FB8" i="7"/>
  <c r="EZ8" i="7"/>
  <c r="ER8" i="7"/>
  <c r="EH8" i="7"/>
  <c r="EF8" i="7"/>
  <c r="DX8" i="7"/>
  <c r="DN8" i="7"/>
  <c r="DM8" i="7"/>
  <c r="DL8" i="7"/>
  <c r="DD8" i="7"/>
  <c r="CJ8" i="7"/>
  <c r="BZ8" i="7"/>
  <c r="BP8" i="7"/>
  <c r="BF8" i="7"/>
  <c r="BD8" i="7"/>
  <c r="D12" i="5"/>
  <c r="D11" i="5"/>
  <c r="D10" i="5"/>
  <c r="HL1" i="7" s="1"/>
  <c r="D9" i="5"/>
  <c r="GK1" i="7" s="1"/>
  <c r="D8" i="5"/>
  <c r="FJ1" i="7" s="1"/>
  <c r="D7" i="5"/>
  <c r="EI1" i="7" s="1"/>
  <c r="D6" i="5"/>
  <c r="DH1" i="7" s="1"/>
  <c r="D5" i="5"/>
  <c r="D4" i="5"/>
  <c r="BF1" i="7" s="1"/>
  <c r="T30" i="5"/>
  <c r="H4" i="7" s="1"/>
  <c r="Q30" i="5"/>
  <c r="E4" i="7" s="1"/>
  <c r="Q29" i="5"/>
  <c r="HZ3" i="7" s="1"/>
  <c r="P28" i="5"/>
  <c r="GX3" i="7" s="1"/>
  <c r="T27" i="5"/>
  <c r="GA3" i="7" s="1"/>
  <c r="O25" i="5"/>
  <c r="DT3" i="7" s="1"/>
  <c r="T24" i="5"/>
  <c r="CX3" i="7" s="1"/>
  <c r="O24" i="5"/>
  <c r="CS3" i="7" s="1"/>
  <c r="O23" i="5"/>
  <c r="BR3" i="7" s="1"/>
  <c r="T21" i="5"/>
  <c r="U3" i="7" s="1"/>
  <c r="N21" i="5"/>
  <c r="O3" i="7" s="1"/>
  <c r="N20" i="5"/>
  <c r="IJ2" i="7" s="1"/>
  <c r="M19" i="5"/>
  <c r="HH2" i="7" s="1"/>
  <c r="T18" i="5"/>
  <c r="GN2" i="7" s="1"/>
  <c r="T15" i="5"/>
  <c r="DK2" i="7" s="1"/>
  <c r="L14" i="5"/>
  <c r="CB2" i="7" s="1"/>
  <c r="K13" i="5"/>
  <c r="AZ2" i="7" s="1"/>
  <c r="W12" i="5"/>
  <c r="AK2" i="7" s="1"/>
  <c r="V12" i="5"/>
  <c r="AJ2" i="7" s="1"/>
  <c r="T12" i="5"/>
  <c r="AH2" i="7" s="1"/>
  <c r="K12" i="5"/>
  <c r="Y2" i="7" s="1"/>
  <c r="V11" i="5"/>
  <c r="I2" i="7" s="1"/>
  <c r="K11" i="5"/>
  <c r="IT1" i="7" s="1"/>
  <c r="W10" i="5"/>
  <c r="IE1" i="7" s="1"/>
  <c r="V10" i="5"/>
  <c r="ID1" i="7" s="1"/>
  <c r="J10" i="5"/>
  <c r="HR1" i="7" s="1"/>
  <c r="W9" i="5"/>
  <c r="HD1" i="7" s="1"/>
  <c r="V9" i="5"/>
  <c r="HC1" i="7" s="1"/>
  <c r="T9" i="5"/>
  <c r="HA1" i="7" s="1"/>
  <c r="J9" i="5"/>
  <c r="GQ1" i="7" s="1"/>
  <c r="V8" i="5"/>
  <c r="GB1" i="7" s="1"/>
  <c r="J8" i="5"/>
  <c r="FP1" i="7" s="1"/>
  <c r="W7" i="5"/>
  <c r="FB1" i="7" s="1"/>
  <c r="V7" i="5"/>
  <c r="FA1" i="7" s="1"/>
  <c r="I7" i="5"/>
  <c r="G7" i="5"/>
  <c r="W6" i="5"/>
  <c r="EA1" i="7" s="1"/>
  <c r="V6" i="5"/>
  <c r="DZ1" i="7" s="1"/>
  <c r="T6" i="5"/>
  <c r="DX1" i="7" s="1"/>
  <c r="I6" i="5"/>
  <c r="W5" i="5"/>
  <c r="V5" i="5"/>
  <c r="I5" i="5"/>
  <c r="W4" i="5"/>
  <c r="V4" i="5"/>
  <c r="Q3" i="5"/>
  <c r="AR1" i="7" s="1"/>
  <c r="P3" i="5"/>
  <c r="AQ1" i="7" s="1"/>
  <c r="O3" i="5"/>
  <c r="AP1" i="7" s="1"/>
  <c r="N3" i="5"/>
  <c r="AO1" i="7" s="1"/>
  <c r="M3" i="5"/>
  <c r="AN1" i="7" s="1"/>
  <c r="L3" i="5"/>
  <c r="AM1" i="7" s="1"/>
  <c r="K3" i="5"/>
  <c r="AL1" i="7" s="1"/>
  <c r="J3" i="5"/>
  <c r="AK1" i="7" s="1"/>
  <c r="I3" i="5"/>
  <c r="AJ1" i="7" s="1"/>
  <c r="I2" i="5"/>
  <c r="I1" i="7" s="1"/>
  <c r="G2" i="5"/>
  <c r="G1" i="7" s="1"/>
  <c r="G17" i="8" l="1"/>
  <c r="G15" i="8"/>
  <c r="BE8" i="7"/>
  <c r="H8" i="5"/>
  <c r="CL1" i="7"/>
  <c r="EB4" i="7"/>
  <c r="EG8" i="7"/>
  <c r="GE8" i="7"/>
  <c r="GD8" i="7"/>
  <c r="CI8" i="7"/>
  <c r="CH8" i="7"/>
  <c r="GY8" i="7"/>
  <c r="GX8" i="7"/>
  <c r="G11" i="5"/>
  <c r="IP1" i="7" s="1"/>
  <c r="EL1" i="7"/>
  <c r="W8" i="5"/>
  <c r="GC1" i="7" s="1"/>
  <c r="L16" i="5"/>
  <c r="ED2" i="7" s="1"/>
  <c r="BO8" i="7"/>
  <c r="BN8" i="7"/>
  <c r="HQ8" i="7"/>
  <c r="CR8" i="7"/>
  <c r="FK8" i="7"/>
  <c r="FJ8" i="7"/>
  <c r="DC8" i="7"/>
  <c r="DB8" i="7"/>
  <c r="L15" i="5"/>
  <c r="DC2" i="7" s="1"/>
  <c r="EO4" i="7"/>
  <c r="CY1" i="7"/>
  <c r="EP4" i="7"/>
  <c r="CZ1" i="7"/>
  <c r="H10" i="5"/>
  <c r="HP1" i="7" s="1"/>
  <c r="EN1" i="7"/>
  <c r="M17" i="5"/>
  <c r="FF2" i="7" s="1"/>
  <c r="DW4" i="7"/>
  <c r="CG1" i="7"/>
  <c r="W11" i="5"/>
  <c r="J2" i="7" s="1"/>
  <c r="IM1" i="7"/>
  <c r="EQ8" i="7"/>
  <c r="EP8" i="7"/>
  <c r="HI8" i="7"/>
  <c r="Y4" i="5"/>
  <c r="BX1" i="7"/>
  <c r="AA4" i="5"/>
  <c r="BY1" i="7"/>
  <c r="FA8" i="7"/>
  <c r="H9" i="5"/>
  <c r="GO1" i="7" s="1"/>
  <c r="DM1" i="7"/>
  <c r="M18" i="5"/>
  <c r="GG2" i="7" s="1"/>
  <c r="N22" i="5"/>
  <c r="AP3" i="7" s="1"/>
  <c r="Q31" i="5"/>
  <c r="R2" i="7"/>
  <c r="BY8" i="7"/>
  <c r="BX8" i="7"/>
  <c r="CT8" i="7"/>
  <c r="HS8" i="7"/>
  <c r="DW8" i="7"/>
  <c r="DV8" i="7"/>
  <c r="H12" i="5"/>
  <c r="P26" i="5"/>
  <c r="EV3" i="7" s="1"/>
  <c r="P27" i="5"/>
  <c r="FW3" i="7" s="1"/>
  <c r="G8" i="5"/>
  <c r="FM1" i="7" s="1"/>
  <c r="G6" i="5"/>
  <c r="DK1" i="7" s="1"/>
  <c r="G10" i="5"/>
  <c r="G20" i="8" l="1"/>
  <c r="G18" i="8"/>
  <c r="G14" i="5"/>
  <c r="BW2" i="7" s="1"/>
  <c r="X5" i="5"/>
  <c r="CA1" i="7"/>
  <c r="CS8" i="7"/>
  <c r="HR8" i="7"/>
  <c r="H13" i="5"/>
  <c r="H11" i="5"/>
  <c r="FN1" i="7"/>
  <c r="Z5" i="5"/>
  <c r="CC1" i="7"/>
  <c r="H15" i="5"/>
  <c r="V2" i="7"/>
  <c r="G13" i="5"/>
  <c r="HO1" i="7"/>
  <c r="AF4" i="7"/>
  <c r="P4" i="7"/>
  <c r="G9" i="5"/>
  <c r="GN1" i="7" s="1"/>
  <c r="G12" i="5"/>
  <c r="U2" i="7" s="1"/>
  <c r="G17" i="5"/>
  <c r="EZ2" i="7" s="1"/>
  <c r="GE5" i="7"/>
  <c r="GD5" i="7"/>
  <c r="FD5" i="7"/>
  <c r="FC5" i="7"/>
  <c r="EC5" i="7"/>
  <c r="EB5" i="7"/>
  <c r="CA5" i="7"/>
  <c r="BZ5" i="7"/>
  <c r="AZ5" i="7"/>
  <c r="AY5" i="7"/>
  <c r="Y5" i="7"/>
  <c r="X5" i="7"/>
  <c r="IT4" i="7"/>
  <c r="IS4" i="7"/>
  <c r="G23" i="8" l="1"/>
  <c r="G21" i="8"/>
  <c r="AA5" i="5"/>
  <c r="ES4" i="7"/>
  <c r="DC1" i="7"/>
  <c r="H16" i="5"/>
  <c r="AW2" i="7"/>
  <c r="M8" i="7"/>
  <c r="DA5" i="7"/>
  <c r="H18" i="5"/>
  <c r="CY2" i="7"/>
  <c r="N8" i="7"/>
  <c r="DB5" i="7"/>
  <c r="HR4" i="7"/>
  <c r="HS4" i="7"/>
  <c r="EQ4" i="7"/>
  <c r="DA1" i="7"/>
  <c r="Y5" i="5"/>
  <c r="G16" i="5"/>
  <c r="AV2" i="7"/>
  <c r="H14" i="5"/>
  <c r="IQ1" i="7"/>
  <c r="G20" i="5"/>
  <c r="IC2" i="7" s="1"/>
  <c r="G26" i="8" l="1"/>
  <c r="G24" i="8"/>
  <c r="X6" i="5"/>
  <c r="ER4" i="7"/>
  <c r="DB1" i="7"/>
  <c r="H19" i="5"/>
  <c r="DZ2" i="7"/>
  <c r="HU4" i="7"/>
  <c r="H21" i="5"/>
  <c r="GB2" i="7"/>
  <c r="H17" i="5"/>
  <c r="BX2" i="7"/>
  <c r="HW4" i="7"/>
  <c r="G19" i="5"/>
  <c r="DY2" i="7"/>
  <c r="G15" i="5"/>
  <c r="CX2" i="7" s="1"/>
  <c r="Z6" i="5"/>
  <c r="DD1" i="7"/>
  <c r="ET4" i="7"/>
  <c r="G23" i="5"/>
  <c r="BJ3" i="7" s="1"/>
  <c r="G29" i="8" l="1"/>
  <c r="G27" i="8"/>
  <c r="AA6" i="5"/>
  <c r="ED1" i="7"/>
  <c r="H20" i="5"/>
  <c r="FA2" i="7"/>
  <c r="H22" i="5"/>
  <c r="HC2" i="7"/>
  <c r="A5" i="7"/>
  <c r="IU4" i="7"/>
  <c r="G22" i="5"/>
  <c r="HB2" i="7"/>
  <c r="G18" i="5"/>
  <c r="GA2" i="7" s="1"/>
  <c r="H24" i="5"/>
  <c r="I3" i="7"/>
  <c r="Y6" i="5"/>
  <c r="EB1" i="7"/>
  <c r="G26" i="5"/>
  <c r="EM3" i="7" s="1"/>
  <c r="G32" i="8" l="1"/>
  <c r="G30" i="8"/>
  <c r="H25" i="5"/>
  <c r="AJ3" i="7"/>
  <c r="H23" i="5"/>
  <c r="ID2" i="7"/>
  <c r="X7" i="5"/>
  <c r="EC1" i="7"/>
  <c r="H27" i="5"/>
  <c r="CL3" i="7"/>
  <c r="B5" i="7"/>
  <c r="G25" i="5"/>
  <c r="AI3" i="7"/>
  <c r="G21" i="5"/>
  <c r="H3" i="7" s="1"/>
  <c r="IV4" i="7"/>
  <c r="Z7" i="5"/>
  <c r="EE1" i="7"/>
  <c r="G29" i="5"/>
  <c r="HP3" i="7" s="1"/>
  <c r="Y7" i="5" l="1"/>
  <c r="FC1" i="7"/>
  <c r="AB5" i="7"/>
  <c r="H26" i="5"/>
  <c r="BK3" i="7"/>
  <c r="G28" i="5"/>
  <c r="DL3" i="7"/>
  <c r="G24" i="5"/>
  <c r="CK3" i="7" s="1"/>
  <c r="Z5" i="7"/>
  <c r="AA7" i="5"/>
  <c r="FE1" i="7"/>
  <c r="FO3" i="7"/>
  <c r="H30" i="5"/>
  <c r="IR3" i="7" s="1"/>
  <c r="H28" i="5"/>
  <c r="DM3" i="7"/>
  <c r="G32" i="5"/>
  <c r="AW4" i="7" s="1"/>
  <c r="FC4" i="7"/>
  <c r="FA4" i="7"/>
  <c r="FZ7" i="7"/>
  <c r="EY7" i="7"/>
  <c r="DX7" i="7"/>
  <c r="CV7" i="7"/>
  <c r="BU7" i="7"/>
  <c r="AT7" i="7"/>
  <c r="HL6" i="7"/>
  <c r="R7" i="7"/>
  <c r="IM6" i="7"/>
  <c r="GJ6" i="7"/>
  <c r="FI6" i="7"/>
  <c r="EH6" i="7"/>
  <c r="DF6" i="7"/>
  <c r="CE6" i="7"/>
  <c r="BD6" i="7"/>
  <c r="AB6" i="7"/>
  <c r="A6" i="7"/>
  <c r="HV5" i="7"/>
  <c r="GT5" i="7"/>
  <c r="FS5" i="7"/>
  <c r="ER5" i="7"/>
  <c r="DP5" i="7"/>
  <c r="BN5" i="7"/>
  <c r="FB7" i="7"/>
  <c r="BY7" i="7"/>
  <c r="IR6" i="7"/>
  <c r="FO6" i="7"/>
  <c r="CL6" i="7"/>
  <c r="I6" i="7"/>
  <c r="GB5" i="7"/>
  <c r="V5" i="7"/>
  <c r="GL4" i="7"/>
  <c r="GK4" i="7"/>
  <c r="GJ4" i="7"/>
  <c r="GI4" i="7"/>
  <c r="GH4" i="7"/>
  <c r="GG4" i="7"/>
  <c r="GF4" i="7"/>
  <c r="GE4" i="7"/>
  <c r="GD4" i="7"/>
  <c r="Z8" i="5" l="1"/>
  <c r="FF1" i="7"/>
  <c r="CY5" i="7"/>
  <c r="K8" i="7"/>
  <c r="AL5" i="7"/>
  <c r="EN3" i="7"/>
  <c r="H29" i="5"/>
  <c r="HQ3" i="7" s="1"/>
  <c r="K5" i="7"/>
  <c r="H31" i="5"/>
  <c r="GP3" i="7"/>
  <c r="AA5" i="7"/>
  <c r="IT7" i="7"/>
  <c r="BK5" i="7"/>
  <c r="A8" i="7"/>
  <c r="CO5" i="7"/>
  <c r="AC5" i="7"/>
  <c r="I5" i="7"/>
  <c r="AJ5" i="7"/>
  <c r="IF4" i="7"/>
  <c r="G31" i="5"/>
  <c r="GO3" i="7"/>
  <c r="G27" i="5"/>
  <c r="FN3" i="7" s="1"/>
  <c r="X8" i="5"/>
  <c r="FD1" i="7"/>
  <c r="EN5" i="7"/>
  <c r="HQ5" i="7"/>
  <c r="Y8" i="5" l="1"/>
  <c r="GD1" i="7"/>
  <c r="IU7" i="7"/>
  <c r="BL5" i="7"/>
  <c r="H32" i="5"/>
  <c r="AX4" i="7" s="1"/>
  <c r="W4" i="7"/>
  <c r="CM5" i="7"/>
  <c r="DN5" i="7"/>
  <c r="DM5" i="7"/>
  <c r="V4" i="7"/>
  <c r="G30" i="5"/>
  <c r="IQ3" i="7" s="1"/>
  <c r="BC5" i="7"/>
  <c r="BA5" i="7"/>
  <c r="AA8" i="5"/>
  <c r="GF1" i="7"/>
  <c r="CL5" i="7"/>
  <c r="AX6" i="7"/>
  <c r="BD5" i="7" l="1"/>
  <c r="BB5" i="7"/>
  <c r="GQ5" i="7"/>
  <c r="Z9" i="5"/>
  <c r="GG1" i="7"/>
  <c r="GP5" i="7"/>
  <c r="FO5" i="7"/>
  <c r="EO5" i="7"/>
  <c r="FP5" i="7"/>
  <c r="X9" i="5"/>
  <c r="GE1" i="7"/>
  <c r="EA6" i="7"/>
  <c r="W6" i="7" l="1"/>
  <c r="IR5" i="7"/>
  <c r="CB5" i="7"/>
  <c r="HR5" i="7"/>
  <c r="IS5" i="7"/>
  <c r="X6" i="7"/>
  <c r="Y9" i="5"/>
  <c r="HE1" i="7"/>
  <c r="AA9" i="5"/>
  <c r="HG1" i="7"/>
  <c r="CD5" i="7"/>
  <c r="HD6" i="7"/>
  <c r="DA6" i="7" l="1"/>
  <c r="CC5" i="7"/>
  <c r="AY6" i="7"/>
  <c r="Z10" i="5"/>
  <c r="HH1" i="7"/>
  <c r="BZ6" i="7"/>
  <c r="X10" i="5"/>
  <c r="HF1" i="7"/>
  <c r="CE5" i="7"/>
  <c r="CZ6" i="7"/>
  <c r="BY6" i="7"/>
  <c r="AK7" i="7"/>
  <c r="GC6" i="7" l="1"/>
  <c r="FB6" i="7"/>
  <c r="FC6" i="7"/>
  <c r="O8" i="7"/>
  <c r="DC5" i="7"/>
  <c r="EB6" i="7"/>
  <c r="Y10" i="5"/>
  <c r="IF1" i="7"/>
  <c r="DE5" i="7"/>
  <c r="Q8" i="7"/>
  <c r="AA10" i="5"/>
  <c r="IH1" i="7"/>
  <c r="GD6" i="7"/>
  <c r="DN7" i="7"/>
  <c r="K7" i="7" l="1"/>
  <c r="Z11" i="5"/>
  <c r="II1" i="7"/>
  <c r="IF6" i="7"/>
  <c r="X11" i="5"/>
  <c r="IG1" i="7"/>
  <c r="HE6" i="7"/>
  <c r="DD5" i="7"/>
  <c r="P8" i="7"/>
  <c r="DF5" i="7"/>
  <c r="R8" i="7"/>
  <c r="J7" i="7"/>
  <c r="IE6" i="7"/>
  <c r="GQ7" i="7"/>
  <c r="ED5" i="7" l="1"/>
  <c r="DO7" i="7"/>
  <c r="AL7" i="7"/>
  <c r="M2" i="7"/>
  <c r="AA11" i="5"/>
  <c r="CM7" i="7"/>
  <c r="BL7" i="7"/>
  <c r="EP7" i="7"/>
  <c r="BM7" i="7"/>
  <c r="EF5" i="7"/>
  <c r="Y11" i="5"/>
  <c r="K2" i="7"/>
  <c r="CN7" i="7"/>
  <c r="Z12" i="5" l="1"/>
  <c r="N2" i="7"/>
  <c r="GR7" i="7"/>
  <c r="FQ7" i="7"/>
  <c r="X12" i="5"/>
  <c r="L2" i="7"/>
  <c r="EG5" i="7"/>
  <c r="FP7" i="7"/>
  <c r="EO7" i="7"/>
  <c r="EE5" i="7"/>
  <c r="FE5" i="7" l="1"/>
  <c r="Y12" i="5"/>
  <c r="AL2" i="7"/>
  <c r="FG5" i="7"/>
  <c r="AA12" i="5"/>
  <c r="AN2" i="7"/>
  <c r="FH5" i="7" l="1"/>
  <c r="X13" i="5"/>
  <c r="BM2" i="7" s="1"/>
  <c r="AM2" i="7"/>
  <c r="Z13" i="5"/>
  <c r="BO2" i="7" s="1"/>
  <c r="AO2" i="7"/>
  <c r="FF5" i="7"/>
  <c r="GF5" i="7" l="1"/>
  <c r="GH5" i="7"/>
  <c r="HI5" i="7" l="1"/>
  <c r="GI5" i="7"/>
  <c r="HG5" i="7"/>
  <c r="GG5" i="7"/>
</calcChain>
</file>

<file path=xl/sharedStrings.xml><?xml version="1.0" encoding="utf-8"?>
<sst xmlns="http://schemas.openxmlformats.org/spreadsheetml/2006/main" count="220" uniqueCount="105">
  <si>
    <t>Labels</t>
  </si>
  <si>
    <t>Blank</t>
  </si>
  <si>
    <t>Revised Costs</t>
  </si>
  <si>
    <t>Delta-x</t>
  </si>
  <si>
    <t>delta-y</t>
  </si>
  <si>
    <t>x-start</t>
  </si>
  <si>
    <t>x-end</t>
  </si>
  <si>
    <t>y-start</t>
  </si>
  <si>
    <t>y-end</t>
  </si>
  <si>
    <t>Austria</t>
  </si>
  <si>
    <t>Norway</t>
  </si>
  <si>
    <t>Serbia</t>
  </si>
  <si>
    <t>Sweden</t>
  </si>
  <si>
    <t>Finland</t>
  </si>
  <si>
    <t>Ireland</t>
  </si>
  <si>
    <t>Germany</t>
  </si>
  <si>
    <t>France</t>
  </si>
  <si>
    <t>Italy</t>
  </si>
  <si>
    <t>Liechtenstein</t>
  </si>
  <si>
    <t>AAAAAH839OM=</t>
  </si>
  <si>
    <t>AAAAAH839OQ=</t>
  </si>
  <si>
    <t>Switzerland</t>
  </si>
  <si>
    <t>National immates</t>
  </si>
  <si>
    <t>Foreign immates</t>
  </si>
  <si>
    <t>Netherlands</t>
  </si>
  <si>
    <t>Bulgaria</t>
  </si>
  <si>
    <t>Country</t>
  </si>
  <si>
    <t>Total</t>
  </si>
  <si>
    <t>Distribution of inmates by nationality</t>
  </si>
  <si>
    <t>distribution by legal status</t>
  </si>
  <si>
    <t>Distribution by</t>
  </si>
  <si>
    <t>Albania</t>
  </si>
  <si>
    <t>NAP</t>
  </si>
  <si>
    <t>Andorra</t>
  </si>
  <si>
    <t>Armenia</t>
  </si>
  <si>
    <t>NA</t>
  </si>
  <si>
    <t>Azerbaijan</t>
  </si>
  <si>
    <t>Croatia</t>
  </si>
  <si>
    <t>Cyprus</t>
  </si>
  <si>
    <t>Czech Rep.</t>
  </si>
  <si>
    <t>Denmark</t>
  </si>
  <si>
    <t>Estonia</t>
  </si>
  <si>
    <t>Greece</t>
  </si>
  <si>
    <t>Hungary</t>
  </si>
  <si>
    <t>Iceland</t>
  </si>
  <si>
    <t>Latvia</t>
  </si>
  <si>
    <t>***</t>
  </si>
  <si>
    <t>Lithuania</t>
  </si>
  <si>
    <t>Luxembourg</t>
  </si>
  <si>
    <t>Moldova</t>
  </si>
  <si>
    <t>Monaco</t>
  </si>
  <si>
    <t>Montenegro</t>
  </si>
  <si>
    <t>[240]</t>
  </si>
  <si>
    <t>[755]</t>
  </si>
  <si>
    <t>North Macedonia</t>
  </si>
  <si>
    <t>Poland</t>
  </si>
  <si>
    <t>Portugal</t>
  </si>
  <si>
    <t>Romania</t>
  </si>
  <si>
    <t>Russian Fed.</t>
  </si>
  <si>
    <t>San Marino</t>
  </si>
  <si>
    <t>Serbia (Republic of)</t>
  </si>
  <si>
    <t>Slovak Rep.</t>
  </si>
  <si>
    <t>Slovenia</t>
  </si>
  <si>
    <t>Spain (total)</t>
  </si>
  <si>
    <t>Spain (State Adm.)</t>
  </si>
  <si>
    <t>Spain (Catalonia)</t>
  </si>
  <si>
    <t>Turkey</t>
  </si>
  <si>
    <t>Ukraine</t>
  </si>
  <si>
    <t>UK: Engl. &amp; Wales</t>
  </si>
  <si>
    <t>UK: North. Ireland</t>
  </si>
  <si>
    <t>UK: Scotland</t>
  </si>
  <si>
    <t>Total
number of
inmates
(including
pre-trial
detainees)
[Stock]</t>
  </si>
  <si>
    <t>not-serving a
final sentence
(detainees)</t>
  </si>
  <si>
    <t>sentenced
(prisoners)</t>
  </si>
  <si>
    <t>citizens of
member states of
the EU</t>
  </si>
  <si>
    <t>inmates with
legal resident
status in your
country</t>
  </si>
  <si>
    <t>not-serving a final
sentence
(detainees)</t>
  </si>
  <si>
    <t>Inmates with
unknown
nationality / other</t>
  </si>
  <si>
    <t>residence status</t>
  </si>
  <si>
    <t>legal status</t>
  </si>
  <si>
    <t>National inmates</t>
  </si>
  <si>
    <t>Foreign inmates</t>
  </si>
  <si>
    <t>https://wp.unil.ch/space/files/2020/04/200405_FinalReport_SPACE_I_2019.pdf</t>
  </si>
  <si>
    <t>Source (page 61f.):</t>
  </si>
  <si>
    <t>Prisoners EU statistic:</t>
  </si>
  <si>
    <t>University Lausanne</t>
  </si>
  <si>
    <t>Oct. 30, 2020</t>
  </si>
  <si>
    <t>Nations and their prisoners
(nationals and foreigners) absolutely</t>
  </si>
  <si>
    <t>Nations and their prisoners 
(nationals and foreigners) percentage</t>
  </si>
  <si>
    <t>Hybrid Metrics Profile - Prisoners</t>
  </si>
  <si>
    <t>This work is part of Project NEMO (New/Next Economic Model)</t>
  </si>
  <si>
    <t>http://project-nemo.org</t>
  </si>
  <si>
    <t>- INSEDE (Institute for Sustainable Economic Development)</t>
  </si>
  <si>
    <t>https://insede.org/</t>
  </si>
  <si>
    <t>- Business Engineering Systems (tools for MBAs)</t>
  </si>
  <si>
    <t>https://bengin.net/bes/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</si>
  <si>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</si>
  <si>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</si>
  <si>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</si>
  <si>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</si>
  <si>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Ask for your license code</t>
  </si>
  <si>
    <t>More Exceltemplates:</t>
  </si>
  <si>
    <t>https://bengin.net/bes/vector14_e.html</t>
  </si>
  <si>
    <t>https://bengin.net/bes/basic_master_e.html</t>
  </si>
  <si>
    <t>Business Engineering Systems Vectortools / Performancevector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</si>
</sst>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7]d/\ mmmm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textRotation="90" wrapText="1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textRotation="90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textRotation="90" wrapText="1"/>
    </xf>
    <xf numFmtId="0" fontId="3" fillId="0" borderId="0" xfId="0" applyFont="1" applyFill="1" applyAlignment="1">
      <alignment wrapText="1"/>
    </xf>
    <xf numFmtId="0" fontId="4" fillId="0" borderId="0" xfId="1"/>
    <xf numFmtId="164" fontId="2" fillId="0" borderId="0" xfId="0" applyNumberFormat="1" applyFont="1" applyFill="1" applyAlignment="1">
      <alignment horizontal="left"/>
    </xf>
    <xf numFmtId="3" fontId="2" fillId="0" borderId="0" xfId="0" applyNumberFormat="1" applyFont="1"/>
    <xf numFmtId="0" fontId="4" fillId="0" borderId="0" xfId="1" applyFill="1"/>
    <xf numFmtId="0" fontId="2" fillId="0" borderId="1" xfId="0" applyFont="1" applyFill="1" applyBorder="1" applyAlignment="1">
      <alignment horizontal="right" textRotation="90" wrapText="1"/>
    </xf>
    <xf numFmtId="3" fontId="4" fillId="0" borderId="0" xfId="1" applyNumberFormat="1"/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2" fillId="3" borderId="2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4" fillId="0" borderId="0" xfId="1" applyBorder="1"/>
    <xf numFmtId="3" fontId="0" fillId="0" borderId="0" xfId="0" applyNumberFormat="1" applyAlignment="1">
      <alignment textRotation="90" wrapText="1"/>
    </xf>
    <xf numFmtId="3" fontId="0" fillId="0" borderId="0" xfId="0" applyNumberFormat="1"/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left" wrapText="1"/>
    </xf>
    <xf numFmtId="0" fontId="0" fillId="0" borderId="0" xfId="0" quotePrefix="1" applyAlignment="1">
      <alignment horizontal="left" wrapText="1"/>
    </xf>
    <xf numFmtId="0" fontId="4" fillId="0" borderId="0" xfId="1" applyAlignment="1">
      <alignment horizontal="left" wrapText="1"/>
    </xf>
    <xf numFmtId="1" fontId="2" fillId="0" borderId="1" xfId="0" applyNumberFormat="1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Percentage!$B$3</c:f>
          <c:strCache>
            <c:ptCount val="1"/>
            <c:pt idx="0">
              <c:v>Nations and their prisoners 
(nationals and foreigners) percentage</c:v>
            </c:pt>
          </c:strCache>
        </c:strRef>
      </c:tx>
      <c:layout>
        <c:manualLayout>
          <c:xMode val="edge"/>
          <c:yMode val="edge"/>
          <c:x val="0.3059325502864178"/>
          <c:y val="1.64102590608130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055074563643345"/>
          <c:y val="0.12894572767722842"/>
          <c:w val="0.83770416666666669"/>
          <c:h val="0.6037797865987945"/>
        </c:manualLayout>
      </c:layout>
      <c:areaChart>
        <c:grouping val="stacked"/>
        <c:varyColors val="0"/>
        <c:ser>
          <c:idx val="0"/>
          <c:order val="0"/>
          <c:tx>
            <c:strRef>
              <c:f>Percentage!$H$3</c:f>
              <c:strCache>
                <c:ptCount val="1"/>
                <c:pt idx="0">
                  <c:v>Blank</c:v>
                </c:pt>
              </c:strCache>
            </c:strRef>
          </c:tx>
          <c:spPr>
            <a:noFill/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Percentage!$H$4:$H$32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71.599999999999994</c:v>
                </c:pt>
                <c:pt idx="5">
                  <c:v>71.599999999999994</c:v>
                </c:pt>
                <c:pt idx="6">
                  <c:v>71.599999999999994</c:v>
                </c:pt>
                <c:pt idx="7">
                  <c:v>117.39999999999999</c:v>
                </c:pt>
                <c:pt idx="8">
                  <c:v>117.39999999999999</c:v>
                </c:pt>
                <c:pt idx="9">
                  <c:v>117.39999999999999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153.4</c:v>
                </c:pt>
                <c:pt idx="14">
                  <c:v>153.4</c:v>
                </c:pt>
                <c:pt idx="15">
                  <c:v>153.4</c:v>
                </c:pt>
                <c:pt idx="16">
                  <c:v>155.19999999999999</c:v>
                </c:pt>
                <c:pt idx="17">
                  <c:v>155.19999999999999</c:v>
                </c:pt>
                <c:pt idx="18">
                  <c:v>155.19999999999999</c:v>
                </c:pt>
                <c:pt idx="19">
                  <c:v>183.89999999999998</c:v>
                </c:pt>
                <c:pt idx="20">
                  <c:v>183.89999999999998</c:v>
                </c:pt>
                <c:pt idx="21">
                  <c:v>183.89999999999998</c:v>
                </c:pt>
                <c:pt idx="22">
                  <c:v>185.2</c:v>
                </c:pt>
                <c:pt idx="23">
                  <c:v>185.2</c:v>
                </c:pt>
                <c:pt idx="24">
                  <c:v>185.2</c:v>
                </c:pt>
                <c:pt idx="25">
                  <c:v>226.29999999999998</c:v>
                </c:pt>
                <c:pt idx="26">
                  <c:v>226.29999999999998</c:v>
                </c:pt>
                <c:pt idx="27">
                  <c:v>226.29999999999998</c:v>
                </c:pt>
                <c:pt idx="28">
                  <c:v>226.29999999999998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F-4491-9445-213772FD6116}"/>
            </c:ext>
          </c:extLst>
        </c:ser>
        <c:ser>
          <c:idx val="1"/>
          <c:order val="1"/>
          <c:tx>
            <c:strRef>
              <c:f>Percentage!$I$3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Percentage!$I$4:$I$32</c:f>
              <c:numCache>
                <c:formatCode>General</c:formatCode>
                <c:ptCount val="29"/>
                <c:pt idx="0">
                  <c:v>0</c:v>
                </c:pt>
                <c:pt idx="1">
                  <c:v>71.599999999999994</c:v>
                </c:pt>
                <c:pt idx="2">
                  <c:v>71.599999999999994</c:v>
                </c:pt>
                <c:pt idx="3">
                  <c:v>71.599999999999994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F-4491-9445-213772FD6116}"/>
            </c:ext>
          </c:extLst>
        </c:ser>
        <c:ser>
          <c:idx val="2"/>
          <c:order val="2"/>
          <c:tx>
            <c:strRef>
              <c:f>Percentage!$J$3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Percentage!$J$4:$J$32</c:f>
              <c:numCache>
                <c:formatCode>General</c:formatCode>
                <c:ptCount val="29"/>
                <c:pt idx="3">
                  <c:v>0</c:v>
                </c:pt>
                <c:pt idx="4">
                  <c:v>45.8</c:v>
                </c:pt>
                <c:pt idx="5">
                  <c:v>45.8</c:v>
                </c:pt>
                <c:pt idx="6">
                  <c:v>45.8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F-4491-9445-213772FD6116}"/>
            </c:ext>
          </c:extLst>
        </c:ser>
        <c:ser>
          <c:idx val="3"/>
          <c:order val="3"/>
          <c:tx>
            <c:strRef>
              <c:f>Percentage!$K$3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Percentage!$K$4:$K$32</c:f>
              <c:numCache>
                <c:formatCode>General</c:formatCode>
                <c:ptCount val="29"/>
                <c:pt idx="6">
                  <c:v>0</c:v>
                </c:pt>
                <c:pt idx="7">
                  <c:v>32.599999999999994</c:v>
                </c:pt>
                <c:pt idx="8">
                  <c:v>32.599999999999994</c:v>
                </c:pt>
                <c:pt idx="9">
                  <c:v>32.599999999999994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7F-4491-9445-213772FD6116}"/>
            </c:ext>
          </c:extLst>
        </c:ser>
        <c:ser>
          <c:idx val="4"/>
          <c:order val="4"/>
          <c:tx>
            <c:strRef>
              <c:f>Percentage!$L$3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Percentage!$L$4:$L$32</c:f>
              <c:numCache>
                <c:formatCode>General</c:formatCode>
                <c:ptCount val="29"/>
                <c:pt idx="9">
                  <c:v>0</c:v>
                </c:pt>
                <c:pt idx="10">
                  <c:v>3.4000000000000057</c:v>
                </c:pt>
                <c:pt idx="11">
                  <c:v>3.4000000000000057</c:v>
                </c:pt>
                <c:pt idx="12">
                  <c:v>3.4000000000000057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7F-4491-9445-213772FD6116}"/>
            </c:ext>
          </c:extLst>
        </c:ser>
        <c:ser>
          <c:idx val="5"/>
          <c:order val="5"/>
          <c:tx>
            <c:strRef>
              <c:f>Percentage!$M$3</c:f>
              <c:strCache>
                <c:ptCount val="1"/>
                <c:pt idx="0">
                  <c:v>Serbia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Percentage!$M$4:$M$32</c:f>
              <c:numCache>
                <c:formatCode>General</c:formatCode>
                <c:ptCount val="29"/>
                <c:pt idx="12">
                  <c:v>0</c:v>
                </c:pt>
                <c:pt idx="13">
                  <c:v>1.7999999999999972</c:v>
                </c:pt>
                <c:pt idx="14">
                  <c:v>1.7999999999999972</c:v>
                </c:pt>
                <c:pt idx="15">
                  <c:v>1.7999999999999972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7F-4491-9445-213772FD6116}"/>
            </c:ext>
          </c:extLst>
        </c:ser>
        <c:ser>
          <c:idx val="6"/>
          <c:order val="6"/>
          <c:tx>
            <c:strRef>
              <c:f>Percentage!$N$3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Percentage!$N$4:$N$32</c:f>
              <c:numCache>
                <c:formatCode>General</c:formatCode>
                <c:ptCount val="29"/>
                <c:pt idx="15">
                  <c:v>0</c:v>
                </c:pt>
                <c:pt idx="16">
                  <c:v>28.700000000000003</c:v>
                </c:pt>
                <c:pt idx="17">
                  <c:v>28.700000000000003</c:v>
                </c:pt>
                <c:pt idx="18">
                  <c:v>28.700000000000003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7F-4491-9445-213772FD6116}"/>
            </c:ext>
          </c:extLst>
        </c:ser>
        <c:ser>
          <c:idx val="7"/>
          <c:order val="7"/>
          <c:tx>
            <c:strRef>
              <c:f>Percentage!$O$3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Percentage!$O$4:$O$32</c:f>
              <c:numCache>
                <c:formatCode>General</c:formatCode>
                <c:ptCount val="29"/>
                <c:pt idx="18">
                  <c:v>0</c:v>
                </c:pt>
                <c:pt idx="19">
                  <c:v>1.2999999999999972</c:v>
                </c:pt>
                <c:pt idx="20">
                  <c:v>1.2999999999999972</c:v>
                </c:pt>
                <c:pt idx="21">
                  <c:v>1.2999999999999972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7F-4491-9445-213772FD6116}"/>
            </c:ext>
          </c:extLst>
        </c:ser>
        <c:ser>
          <c:idx val="8"/>
          <c:order val="8"/>
          <c:tx>
            <c:strRef>
              <c:f>Percentage!$P$3</c:f>
              <c:strCache>
                <c:ptCount val="1"/>
                <c:pt idx="0">
                  <c:v>Bulgaria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Percentage!$P$4:$P$32</c:f>
              <c:numCache>
                <c:formatCode>General</c:formatCode>
                <c:ptCount val="29"/>
                <c:pt idx="21">
                  <c:v>0</c:v>
                </c:pt>
                <c:pt idx="22">
                  <c:v>41.1</c:v>
                </c:pt>
                <c:pt idx="23">
                  <c:v>41.1</c:v>
                </c:pt>
                <c:pt idx="24">
                  <c:v>41.1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7F-4491-9445-213772FD6116}"/>
            </c:ext>
          </c:extLst>
        </c:ser>
        <c:ser>
          <c:idx val="9"/>
          <c:order val="9"/>
          <c:tx>
            <c:strRef>
              <c:f>Percentage!$Q$3</c:f>
              <c:strCache>
                <c:ptCount val="1"/>
                <c:pt idx="0">
                  <c:v>Ireland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cat>
            <c:numRef>
              <c:f>Percentage!$G$4:$G$32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14.2</c:v>
                </c:pt>
                <c:pt idx="3">
                  <c:v>28.4</c:v>
                </c:pt>
                <c:pt idx="4">
                  <c:v>28.4</c:v>
                </c:pt>
                <c:pt idx="5">
                  <c:v>55.5</c:v>
                </c:pt>
                <c:pt idx="6">
                  <c:v>82.6</c:v>
                </c:pt>
                <c:pt idx="7">
                  <c:v>82.6</c:v>
                </c:pt>
                <c:pt idx="8">
                  <c:v>116.3</c:v>
                </c:pt>
                <c:pt idx="9">
                  <c:v>150</c:v>
                </c:pt>
                <c:pt idx="10">
                  <c:v>150</c:v>
                </c:pt>
                <c:pt idx="11">
                  <c:v>198.3</c:v>
                </c:pt>
                <c:pt idx="12">
                  <c:v>246.6</c:v>
                </c:pt>
                <c:pt idx="13">
                  <c:v>246.6</c:v>
                </c:pt>
                <c:pt idx="14">
                  <c:v>295.7</c:v>
                </c:pt>
                <c:pt idx="15">
                  <c:v>344.8</c:v>
                </c:pt>
                <c:pt idx="16">
                  <c:v>344.8</c:v>
                </c:pt>
                <c:pt idx="17">
                  <c:v>380.45000000000005</c:v>
                </c:pt>
                <c:pt idx="18">
                  <c:v>416.1</c:v>
                </c:pt>
                <c:pt idx="19">
                  <c:v>416.1</c:v>
                </c:pt>
                <c:pt idx="20">
                  <c:v>465.45000000000005</c:v>
                </c:pt>
                <c:pt idx="21">
                  <c:v>514.80000000000007</c:v>
                </c:pt>
                <c:pt idx="22">
                  <c:v>514.80000000000007</c:v>
                </c:pt>
                <c:pt idx="23">
                  <c:v>544.25</c:v>
                </c:pt>
                <c:pt idx="24">
                  <c:v>573.70000000000005</c:v>
                </c:pt>
                <c:pt idx="25">
                  <c:v>573.70000000000005</c:v>
                </c:pt>
                <c:pt idx="26">
                  <c:v>618.30000000000007</c:v>
                </c:pt>
                <c:pt idx="27">
                  <c:v>662.90000000000009</c:v>
                </c:pt>
                <c:pt idx="28">
                  <c:v>662.90000000000009</c:v>
                </c:pt>
              </c:numCache>
            </c:numRef>
          </c:cat>
          <c:val>
            <c:numRef>
              <c:f>Percentage!$Q$4:$Q$32</c:f>
              <c:numCache>
                <c:formatCode>General</c:formatCode>
                <c:ptCount val="29"/>
                <c:pt idx="24">
                  <c:v>0</c:v>
                </c:pt>
                <c:pt idx="25">
                  <c:v>10.799999999999997</c:v>
                </c:pt>
                <c:pt idx="26">
                  <c:v>10.799999999999997</c:v>
                </c:pt>
                <c:pt idx="27">
                  <c:v>10.799999999999997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7F-4491-9445-213772FD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15840"/>
        <c:axId val="67717760"/>
      </c:areaChart>
      <c:scatterChart>
        <c:scatterStyle val="lineMarker"/>
        <c:varyColors val="0"/>
        <c:ser>
          <c:idx val="11"/>
          <c:order val="10"/>
          <c:tx>
            <c:v>SumVec</c:v>
          </c:tx>
          <c:spPr>
            <a:ln w="19050">
              <a:solidFill>
                <a:srgbClr val="FF0000"/>
              </a:solidFill>
              <a:prstDash val="dash"/>
              <a:tailEnd type="stealth" w="lg" len="lg"/>
            </a:ln>
          </c:spPr>
          <c:marker>
            <c:symbol val="none"/>
          </c:marker>
          <c:xVal>
            <c:numRef>
              <c:f>(Percentage!$X$4,Percentage!$X$13)</c:f>
              <c:numCache>
                <c:formatCode>General</c:formatCode>
                <c:ptCount val="2"/>
                <c:pt idx="0">
                  <c:v>0</c:v>
                </c:pt>
                <c:pt idx="1">
                  <c:v>662.90000000000009</c:v>
                </c:pt>
              </c:numCache>
            </c:numRef>
          </c:xVal>
          <c:yVal>
            <c:numRef>
              <c:f>(Percentage!$Z$4,Percentage!$Z$13)</c:f>
              <c:numCache>
                <c:formatCode>General</c:formatCode>
                <c:ptCount val="2"/>
                <c:pt idx="0">
                  <c:v>0</c:v>
                </c:pt>
                <c:pt idx="1">
                  <c:v>237.09999999999997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17F-4491-9445-213772FD6116}"/>
            </c:ext>
          </c:extLst>
        </c:ser>
        <c:ser>
          <c:idx val="12"/>
          <c:order val="11"/>
          <c:tx>
            <c:v>1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Percentage!$X$4:$Y$4</c:f>
              <c:numCache>
                <c:formatCode>General</c:formatCode>
                <c:ptCount val="2"/>
                <c:pt idx="0">
                  <c:v>0</c:v>
                </c:pt>
                <c:pt idx="1">
                  <c:v>28.4</c:v>
                </c:pt>
              </c:numCache>
            </c:numRef>
          </c:xVal>
          <c:yVal>
            <c:numRef>
              <c:f>Percentage!$Z$4:$AA$4</c:f>
              <c:numCache>
                <c:formatCode>General</c:formatCode>
                <c:ptCount val="2"/>
                <c:pt idx="0">
                  <c:v>0</c:v>
                </c:pt>
                <c:pt idx="1">
                  <c:v>71.599999999999994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17F-4491-9445-213772FD6116}"/>
            </c:ext>
          </c:extLst>
        </c:ser>
        <c:ser>
          <c:idx val="13"/>
          <c:order val="12"/>
          <c:tx>
            <c:v>2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Percentage!$X$5:$Y$5</c:f>
              <c:numCache>
                <c:formatCode>General</c:formatCode>
                <c:ptCount val="2"/>
                <c:pt idx="0">
                  <c:v>28.4</c:v>
                </c:pt>
                <c:pt idx="1">
                  <c:v>82.6</c:v>
                </c:pt>
              </c:numCache>
            </c:numRef>
          </c:xVal>
          <c:yVal>
            <c:numRef>
              <c:f>Percentage!$Z$5:$AA$5</c:f>
              <c:numCache>
                <c:formatCode>General</c:formatCode>
                <c:ptCount val="2"/>
                <c:pt idx="0">
                  <c:v>71.599999999999994</c:v>
                </c:pt>
                <c:pt idx="1">
                  <c:v>117.39999999999999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17F-4491-9445-213772FD6116}"/>
            </c:ext>
          </c:extLst>
        </c:ser>
        <c:ser>
          <c:idx val="14"/>
          <c:order val="13"/>
          <c:tx>
            <c:v>3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Percentage!$X$6:$Y$6</c:f>
              <c:numCache>
                <c:formatCode>General</c:formatCode>
                <c:ptCount val="2"/>
                <c:pt idx="0">
                  <c:v>82.6</c:v>
                </c:pt>
                <c:pt idx="1">
                  <c:v>150</c:v>
                </c:pt>
              </c:numCache>
            </c:numRef>
          </c:xVal>
          <c:yVal>
            <c:numRef>
              <c:f>Percentage!$Z$6:$AA$6</c:f>
              <c:numCache>
                <c:formatCode>General</c:formatCode>
                <c:ptCount val="2"/>
                <c:pt idx="0">
                  <c:v>117.39999999999999</c:v>
                </c:pt>
                <c:pt idx="1">
                  <c:v>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17F-4491-9445-213772FD6116}"/>
            </c:ext>
          </c:extLst>
        </c:ser>
        <c:ser>
          <c:idx val="15"/>
          <c:order val="14"/>
          <c:tx>
            <c:v>4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Percentage!$X$7:$Y$7</c:f>
              <c:numCache>
                <c:formatCode>General</c:formatCode>
                <c:ptCount val="2"/>
                <c:pt idx="0">
                  <c:v>150</c:v>
                </c:pt>
                <c:pt idx="1">
                  <c:v>246.6</c:v>
                </c:pt>
              </c:numCache>
            </c:numRef>
          </c:xVal>
          <c:yVal>
            <c:numRef>
              <c:f>Percentage!$Z$7:$AA$7</c:f>
              <c:numCache>
                <c:formatCode>General</c:formatCode>
                <c:ptCount val="2"/>
                <c:pt idx="0">
                  <c:v>150</c:v>
                </c:pt>
                <c:pt idx="1">
                  <c:v>153.4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17F-4491-9445-213772FD6116}"/>
            </c:ext>
          </c:extLst>
        </c:ser>
        <c:ser>
          <c:idx val="16"/>
          <c:order val="15"/>
          <c:tx>
            <c:v>5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Percentage!$X$8:$Y$8</c:f>
              <c:numCache>
                <c:formatCode>General</c:formatCode>
                <c:ptCount val="2"/>
                <c:pt idx="0">
                  <c:v>246.6</c:v>
                </c:pt>
                <c:pt idx="1">
                  <c:v>344.8</c:v>
                </c:pt>
              </c:numCache>
            </c:numRef>
          </c:xVal>
          <c:yVal>
            <c:numRef>
              <c:f>Percentage!$Z$8:$AA$8</c:f>
              <c:numCache>
                <c:formatCode>General</c:formatCode>
                <c:ptCount val="2"/>
                <c:pt idx="0">
                  <c:v>153.4</c:v>
                </c:pt>
                <c:pt idx="1">
                  <c:v>155.19999999999999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17F-4491-9445-213772FD6116}"/>
            </c:ext>
          </c:extLst>
        </c:ser>
        <c:ser>
          <c:idx val="17"/>
          <c:order val="16"/>
          <c:tx>
            <c:v>6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Percentage!$X$9:$Y$9</c:f>
              <c:numCache>
                <c:formatCode>General</c:formatCode>
                <c:ptCount val="2"/>
                <c:pt idx="0">
                  <c:v>344.8</c:v>
                </c:pt>
                <c:pt idx="1">
                  <c:v>416.1</c:v>
                </c:pt>
              </c:numCache>
            </c:numRef>
          </c:xVal>
          <c:yVal>
            <c:numRef>
              <c:f>Percentage!$Z$9:$AA$9</c:f>
              <c:numCache>
                <c:formatCode>General</c:formatCode>
                <c:ptCount val="2"/>
                <c:pt idx="0">
                  <c:v>155.19999999999999</c:v>
                </c:pt>
                <c:pt idx="1">
                  <c:v>183.89999999999998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17F-4491-9445-213772FD6116}"/>
            </c:ext>
          </c:extLst>
        </c:ser>
        <c:ser>
          <c:idx val="18"/>
          <c:order val="17"/>
          <c:tx>
            <c:v>7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Percentage!$X$10:$Y$10</c:f>
              <c:numCache>
                <c:formatCode>General</c:formatCode>
                <c:ptCount val="2"/>
                <c:pt idx="0">
                  <c:v>416.1</c:v>
                </c:pt>
                <c:pt idx="1">
                  <c:v>514.80000000000007</c:v>
                </c:pt>
              </c:numCache>
            </c:numRef>
          </c:xVal>
          <c:yVal>
            <c:numRef>
              <c:f>Percentage!$Z$10:$AA$10</c:f>
              <c:numCache>
                <c:formatCode>General</c:formatCode>
                <c:ptCount val="2"/>
                <c:pt idx="0">
                  <c:v>183.89999999999998</c:v>
                </c:pt>
                <c:pt idx="1">
                  <c:v>185.2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17F-4491-9445-213772FD6116}"/>
            </c:ext>
          </c:extLst>
        </c:ser>
        <c:ser>
          <c:idx val="19"/>
          <c:order val="18"/>
          <c:tx>
            <c:v>8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Percentage!$X$11:$Y$11</c:f>
              <c:numCache>
                <c:formatCode>General</c:formatCode>
                <c:ptCount val="2"/>
                <c:pt idx="0">
                  <c:v>514.80000000000007</c:v>
                </c:pt>
                <c:pt idx="1">
                  <c:v>573.70000000000005</c:v>
                </c:pt>
              </c:numCache>
            </c:numRef>
          </c:xVal>
          <c:yVal>
            <c:numRef>
              <c:f>Percentage!$Z$11:$AA$11</c:f>
              <c:numCache>
                <c:formatCode>General</c:formatCode>
                <c:ptCount val="2"/>
                <c:pt idx="0">
                  <c:v>185.2</c:v>
                </c:pt>
                <c:pt idx="1">
                  <c:v>226.29999999999998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17F-4491-9445-213772FD6116}"/>
            </c:ext>
          </c:extLst>
        </c:ser>
        <c:ser>
          <c:idx val="20"/>
          <c:order val="19"/>
          <c:tx>
            <c:v>9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Percentage!$X$12:$Y$12</c:f>
              <c:numCache>
                <c:formatCode>General</c:formatCode>
                <c:ptCount val="2"/>
                <c:pt idx="0">
                  <c:v>573.70000000000005</c:v>
                </c:pt>
                <c:pt idx="1">
                  <c:v>662.90000000000009</c:v>
                </c:pt>
              </c:numCache>
            </c:numRef>
          </c:xVal>
          <c:yVal>
            <c:numRef>
              <c:f>Percentage!$Z$12:$AA$12</c:f>
              <c:numCache>
                <c:formatCode>General</c:formatCode>
                <c:ptCount val="2"/>
                <c:pt idx="0">
                  <c:v>226.29999999999998</c:v>
                </c:pt>
                <c:pt idx="1">
                  <c:v>237.09999999999997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17F-4491-9445-213772FD6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15840"/>
        <c:axId val="67717760"/>
      </c:scatterChart>
      <c:dateAx>
        <c:axId val="67715840"/>
        <c:scaling>
          <c:orientation val="minMax"/>
        </c:scaling>
        <c:delete val="0"/>
        <c:axPos val="b"/>
        <c:majorGridlines/>
        <c:title>
          <c:tx>
            <c:strRef>
              <c:f>Percentage!$C$3</c:f>
              <c:strCache>
                <c:ptCount val="1"/>
                <c:pt idx="0">
                  <c:v>National immates</c:v>
                </c:pt>
              </c:strCache>
            </c:strRef>
          </c:tx>
          <c:layout>
            <c:manualLayout>
              <c:xMode val="edge"/>
              <c:yMode val="edge"/>
              <c:x val="0.60366578282828287"/>
              <c:y val="0.80811957671957668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tailEnd type="none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de-DE"/>
          </a:p>
        </c:txPr>
        <c:crossAx val="67717760"/>
        <c:crosses val="autoZero"/>
        <c:auto val="0"/>
        <c:lblOffset val="100"/>
        <c:baseTimeUnit val="days"/>
        <c:majorUnit val="100"/>
        <c:majorTimeUnit val="days"/>
      </c:dateAx>
      <c:valAx>
        <c:axId val="67717760"/>
        <c:scaling>
          <c:orientation val="minMax"/>
        </c:scaling>
        <c:delete val="0"/>
        <c:axPos val="l"/>
        <c:majorGridlines/>
        <c:title>
          <c:tx>
            <c:strRef>
              <c:f>Percentage!$D$3</c:f>
              <c:strCache>
                <c:ptCount val="1"/>
                <c:pt idx="0">
                  <c:v>Foreign immates</c:v>
                </c:pt>
              </c:strCache>
            </c:strRef>
          </c:tx>
          <c:layout>
            <c:manualLayout>
              <c:xMode val="edge"/>
              <c:yMode val="edge"/>
              <c:x val="2.4710870417215949E-2"/>
              <c:y val="0.21861420853853561"/>
            </c:manualLayout>
          </c:layout>
          <c:overlay val="0"/>
          <c:txPr>
            <a:bodyPr rot="-5400000" vert="horz"/>
            <a:lstStyle/>
            <a:p>
              <a:pPr>
                <a:defRPr sz="18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crossAx val="67715840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ayout>
        <c:manualLayout>
          <c:xMode val="edge"/>
          <c:yMode val="edge"/>
          <c:x val="9.5702901390719811E-2"/>
          <c:y val="0.89107690548385321"/>
          <c:w val="0.9042970986092802"/>
          <c:h val="7.1109399735013082E-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Absolutely!$B$3</c:f>
          <c:strCache>
            <c:ptCount val="1"/>
            <c:pt idx="0">
              <c:v>Nations and their prisoners
(nationals and foreigners) absolutely</c:v>
            </c:pt>
          </c:strCache>
        </c:strRef>
      </c:tx>
      <c:layout>
        <c:manualLayout>
          <c:xMode val="edge"/>
          <c:yMode val="edge"/>
          <c:x val="0.21689705830294878"/>
          <c:y val="2.92220229228103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83832733577986"/>
          <c:y val="0.12894572767722842"/>
          <c:w val="0.77511199111029261"/>
          <c:h val="0.63269158922702229"/>
        </c:manualLayout>
      </c:layout>
      <c:areaChart>
        <c:grouping val="stacked"/>
        <c:varyColors val="0"/>
        <c:ser>
          <c:idx val="0"/>
          <c:order val="0"/>
          <c:tx>
            <c:strRef>
              <c:f>Absolutely!$H$3</c:f>
              <c:strCache>
                <c:ptCount val="1"/>
                <c:pt idx="0">
                  <c:v>Blank</c:v>
                </c:pt>
              </c:strCache>
            </c:strRef>
          </c:tx>
          <c:spPr>
            <a:noFill/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Absolutely!$H$4:$H$32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5009</c:v>
                </c:pt>
                <c:pt idx="5">
                  <c:v>5009</c:v>
                </c:pt>
                <c:pt idx="6">
                  <c:v>5009</c:v>
                </c:pt>
                <c:pt idx="7">
                  <c:v>10128</c:v>
                </c:pt>
                <c:pt idx="8">
                  <c:v>10128</c:v>
                </c:pt>
                <c:pt idx="9">
                  <c:v>10128</c:v>
                </c:pt>
                <c:pt idx="10">
                  <c:v>11131</c:v>
                </c:pt>
                <c:pt idx="11">
                  <c:v>11131</c:v>
                </c:pt>
                <c:pt idx="12">
                  <c:v>11131</c:v>
                </c:pt>
                <c:pt idx="13">
                  <c:v>13388</c:v>
                </c:pt>
                <c:pt idx="14">
                  <c:v>13388</c:v>
                </c:pt>
                <c:pt idx="15">
                  <c:v>13388</c:v>
                </c:pt>
                <c:pt idx="16">
                  <c:v>13705</c:v>
                </c:pt>
                <c:pt idx="17">
                  <c:v>13705</c:v>
                </c:pt>
                <c:pt idx="18">
                  <c:v>13705</c:v>
                </c:pt>
                <c:pt idx="19">
                  <c:v>14944</c:v>
                </c:pt>
                <c:pt idx="20">
                  <c:v>14944</c:v>
                </c:pt>
                <c:pt idx="21">
                  <c:v>14944</c:v>
                </c:pt>
                <c:pt idx="22">
                  <c:v>15435</c:v>
                </c:pt>
                <c:pt idx="23">
                  <c:v>15435</c:v>
                </c:pt>
                <c:pt idx="24">
                  <c:v>15435</c:v>
                </c:pt>
                <c:pt idx="25">
                  <c:v>15662</c:v>
                </c:pt>
                <c:pt idx="26">
                  <c:v>15662</c:v>
                </c:pt>
                <c:pt idx="27">
                  <c:v>15662</c:v>
                </c:pt>
                <c:pt idx="28">
                  <c:v>15662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3-44E8-A1E9-0AC8FF7CFC89}"/>
            </c:ext>
          </c:extLst>
        </c:ser>
        <c:ser>
          <c:idx val="1"/>
          <c:order val="1"/>
          <c:tx>
            <c:strRef>
              <c:f>Absolutely!$I$3</c:f>
              <c:strCache>
                <c:ptCount val="1"/>
                <c:pt idx="0">
                  <c:v>Switzerland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Absolutely!$I$4:$I$32</c:f>
              <c:numCache>
                <c:formatCode>General</c:formatCode>
                <c:ptCount val="29"/>
                <c:pt idx="0">
                  <c:v>0</c:v>
                </c:pt>
                <c:pt idx="1">
                  <c:v>5009</c:v>
                </c:pt>
                <c:pt idx="2">
                  <c:v>5009</c:v>
                </c:pt>
                <c:pt idx="3">
                  <c:v>5009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3-44E8-A1E9-0AC8FF7CFC89}"/>
            </c:ext>
          </c:extLst>
        </c:ser>
        <c:ser>
          <c:idx val="2"/>
          <c:order val="2"/>
          <c:tx>
            <c:strRef>
              <c:f>Absolutely!$J$3</c:f>
              <c:strCache>
                <c:ptCount val="1"/>
                <c:pt idx="0">
                  <c:v>Austria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Absolutely!$J$4:$J$32</c:f>
              <c:numCache>
                <c:formatCode>General</c:formatCode>
                <c:ptCount val="29"/>
                <c:pt idx="3">
                  <c:v>0</c:v>
                </c:pt>
                <c:pt idx="4">
                  <c:v>5119</c:v>
                </c:pt>
                <c:pt idx="5">
                  <c:v>5119</c:v>
                </c:pt>
                <c:pt idx="6">
                  <c:v>5119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D3-44E8-A1E9-0AC8FF7CFC89}"/>
            </c:ext>
          </c:extLst>
        </c:ser>
        <c:ser>
          <c:idx val="3"/>
          <c:order val="3"/>
          <c:tx>
            <c:strRef>
              <c:f>Absolutely!$K$3</c:f>
              <c:strCache>
                <c:ptCount val="1"/>
                <c:pt idx="0">
                  <c:v>Norway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Absolutely!$K$4:$K$32</c:f>
              <c:numCache>
                <c:formatCode>General</c:formatCode>
                <c:ptCount val="29"/>
                <c:pt idx="6">
                  <c:v>0</c:v>
                </c:pt>
                <c:pt idx="7">
                  <c:v>1003</c:v>
                </c:pt>
                <c:pt idx="8">
                  <c:v>1003</c:v>
                </c:pt>
                <c:pt idx="9">
                  <c:v>1003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D3-44E8-A1E9-0AC8FF7CFC89}"/>
            </c:ext>
          </c:extLst>
        </c:ser>
        <c:ser>
          <c:idx val="4"/>
          <c:order val="4"/>
          <c:tx>
            <c:strRef>
              <c:f>Absolutely!$L$3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Absolutely!$L$4:$L$32</c:f>
              <c:numCache>
                <c:formatCode>General</c:formatCode>
                <c:ptCount val="29"/>
                <c:pt idx="9">
                  <c:v>0</c:v>
                </c:pt>
                <c:pt idx="10">
                  <c:v>2257</c:v>
                </c:pt>
                <c:pt idx="11">
                  <c:v>2257</c:v>
                </c:pt>
                <c:pt idx="12">
                  <c:v>2257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D3-44E8-A1E9-0AC8FF7CFC89}"/>
            </c:ext>
          </c:extLst>
        </c:ser>
        <c:ser>
          <c:idx val="5"/>
          <c:order val="5"/>
          <c:tx>
            <c:strRef>
              <c:f>Absolutely!$M$3</c:f>
              <c:strCache>
                <c:ptCount val="1"/>
                <c:pt idx="0">
                  <c:v>Serbia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Absolutely!$M$4:$M$32</c:f>
              <c:numCache>
                <c:formatCode>General</c:formatCode>
                <c:ptCount val="29"/>
                <c:pt idx="12">
                  <c:v>0</c:v>
                </c:pt>
                <c:pt idx="13">
                  <c:v>317</c:v>
                </c:pt>
                <c:pt idx="14">
                  <c:v>317</c:v>
                </c:pt>
                <c:pt idx="15">
                  <c:v>317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D3-44E8-A1E9-0AC8FF7CFC89}"/>
            </c:ext>
          </c:extLst>
        </c:ser>
        <c:ser>
          <c:idx val="6"/>
          <c:order val="6"/>
          <c:tx>
            <c:strRef>
              <c:f>Absolutely!$N$3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Absolutely!$N$4:$N$32</c:f>
              <c:numCache>
                <c:formatCode>General</c:formatCode>
                <c:ptCount val="29"/>
                <c:pt idx="15">
                  <c:v>0</c:v>
                </c:pt>
                <c:pt idx="16">
                  <c:v>1239</c:v>
                </c:pt>
                <c:pt idx="17">
                  <c:v>1239</c:v>
                </c:pt>
                <c:pt idx="18">
                  <c:v>1239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D3-44E8-A1E9-0AC8FF7CFC89}"/>
            </c:ext>
          </c:extLst>
        </c:ser>
        <c:ser>
          <c:idx val="7"/>
          <c:order val="7"/>
          <c:tx>
            <c:strRef>
              <c:f>Absolutely!$O$3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Absolutely!$O$4:$O$32</c:f>
              <c:numCache>
                <c:formatCode>General</c:formatCode>
                <c:ptCount val="29"/>
                <c:pt idx="18">
                  <c:v>0</c:v>
                </c:pt>
                <c:pt idx="19">
                  <c:v>491</c:v>
                </c:pt>
                <c:pt idx="20">
                  <c:v>491</c:v>
                </c:pt>
                <c:pt idx="21">
                  <c:v>491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D3-44E8-A1E9-0AC8FF7CFC89}"/>
            </c:ext>
          </c:extLst>
        </c:ser>
        <c:ser>
          <c:idx val="8"/>
          <c:order val="8"/>
          <c:tx>
            <c:strRef>
              <c:f>Absolutely!$P$3</c:f>
              <c:strCache>
                <c:ptCount val="1"/>
                <c:pt idx="0">
                  <c:v>Bulgaria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Absolutely!$P$4:$P$32</c:f>
              <c:numCache>
                <c:formatCode>General</c:formatCode>
                <c:ptCount val="29"/>
                <c:pt idx="21">
                  <c:v>0</c:v>
                </c:pt>
                <c:pt idx="22">
                  <c:v>227</c:v>
                </c:pt>
                <c:pt idx="23">
                  <c:v>227</c:v>
                </c:pt>
                <c:pt idx="24">
                  <c:v>227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D3-44E8-A1E9-0AC8FF7CFC89}"/>
            </c:ext>
          </c:extLst>
        </c:ser>
        <c:ser>
          <c:idx val="9"/>
          <c:order val="9"/>
          <c:tx>
            <c:strRef>
              <c:f>Absolutely!$Q$3</c:f>
              <c:strCache>
                <c:ptCount val="1"/>
                <c:pt idx="0">
                  <c:v>Ireland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cat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cat>
          <c:val>
            <c:numRef>
              <c:f>Absolutely!$Q$4:$Q$32</c:f>
              <c:numCache>
                <c:formatCode>General</c:formatCode>
                <c:ptCount val="29"/>
                <c:pt idx="24">
                  <c:v>0</c:v>
                </c:pt>
                <c:pt idx="25">
                  <c:v>543</c:v>
                </c:pt>
                <c:pt idx="26">
                  <c:v>543</c:v>
                </c:pt>
                <c:pt idx="27">
                  <c:v>543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D3-44E8-A1E9-0AC8FF7CF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15840"/>
        <c:axId val="67717760"/>
      </c:areaChart>
      <c:scatterChart>
        <c:scatterStyle val="lineMarker"/>
        <c:varyColors val="0"/>
        <c:ser>
          <c:idx val="11"/>
          <c:order val="10"/>
          <c:tx>
            <c:v>SumVec</c:v>
          </c:tx>
          <c:spPr>
            <a:ln w="19050">
              <a:solidFill>
                <a:srgbClr val="FF0000"/>
              </a:solidFill>
              <a:prstDash val="dash"/>
              <a:tailEnd type="stealth" w="lg" len="lg"/>
            </a:ln>
          </c:spPr>
          <c:marker>
            <c:symbol val="none"/>
          </c:marker>
          <c:xVal>
            <c:numRef>
              <c:f>(Absolutely!$X$4,Absolutely!$X$13)</c:f>
              <c:numCache>
                <c:formatCode>General</c:formatCode>
                <c:ptCount val="2"/>
                <c:pt idx="0">
                  <c:v>0</c:v>
                </c:pt>
                <c:pt idx="1">
                  <c:v>42450</c:v>
                </c:pt>
              </c:numCache>
            </c:numRef>
          </c:xVal>
          <c:yVal>
            <c:numRef>
              <c:f>(Absolutely!$Z$4,Absolutely!$Z$13)</c:f>
              <c:numCache>
                <c:formatCode>General</c:formatCode>
                <c:ptCount val="2"/>
                <c:pt idx="0">
                  <c:v>0</c:v>
                </c:pt>
                <c:pt idx="1">
                  <c:v>16205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5D3-44E8-A1E9-0AC8FF7CFC89}"/>
            </c:ext>
          </c:extLst>
        </c:ser>
        <c:ser>
          <c:idx val="12"/>
          <c:order val="11"/>
          <c:tx>
            <c:v>1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Absolutely!$X$4:$Y$4</c:f>
              <c:numCache>
                <c:formatCode>General</c:formatCode>
                <c:ptCount val="2"/>
                <c:pt idx="0">
                  <c:v>0</c:v>
                </c:pt>
                <c:pt idx="1">
                  <c:v>1934</c:v>
                </c:pt>
              </c:numCache>
            </c:numRef>
          </c:xVal>
          <c:yVal>
            <c:numRef>
              <c:f>Absolutely!$Z$4:$AA$4</c:f>
              <c:numCache>
                <c:formatCode>General</c:formatCode>
                <c:ptCount val="2"/>
                <c:pt idx="0">
                  <c:v>0</c:v>
                </c:pt>
                <c:pt idx="1">
                  <c:v>5009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5D3-44E8-A1E9-0AC8FF7CFC89}"/>
            </c:ext>
          </c:extLst>
        </c:ser>
        <c:ser>
          <c:idx val="13"/>
          <c:order val="12"/>
          <c:tx>
            <c:v>2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Absolutely!$X$5:$Y$5</c:f>
              <c:numCache>
                <c:formatCode>General</c:formatCode>
                <c:ptCount val="2"/>
                <c:pt idx="0">
                  <c:v>1934</c:v>
                </c:pt>
                <c:pt idx="1">
                  <c:v>6166</c:v>
                </c:pt>
              </c:numCache>
            </c:numRef>
          </c:xVal>
          <c:yVal>
            <c:numRef>
              <c:f>Absolutely!$Z$5:$AA$5</c:f>
              <c:numCache>
                <c:formatCode>General</c:formatCode>
                <c:ptCount val="2"/>
                <c:pt idx="0">
                  <c:v>5009</c:v>
                </c:pt>
                <c:pt idx="1">
                  <c:v>10128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5D3-44E8-A1E9-0AC8FF7CFC89}"/>
            </c:ext>
          </c:extLst>
        </c:ser>
        <c:ser>
          <c:idx val="14"/>
          <c:order val="13"/>
          <c:tx>
            <c:v>3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Absolutely!$X$6:$Y$6</c:f>
              <c:numCache>
                <c:formatCode>General</c:formatCode>
                <c:ptCount val="2"/>
                <c:pt idx="0">
                  <c:v>6166</c:v>
                </c:pt>
                <c:pt idx="1">
                  <c:v>8390</c:v>
                </c:pt>
              </c:numCache>
            </c:numRef>
          </c:xVal>
          <c:yVal>
            <c:numRef>
              <c:f>Absolutely!$Z$6:$AA$6</c:f>
              <c:numCache>
                <c:formatCode>General</c:formatCode>
                <c:ptCount val="2"/>
                <c:pt idx="0">
                  <c:v>10128</c:v>
                </c:pt>
                <c:pt idx="1">
                  <c:v>11131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5D3-44E8-A1E9-0AC8FF7CFC89}"/>
            </c:ext>
          </c:extLst>
        </c:ser>
        <c:ser>
          <c:idx val="15"/>
          <c:order val="14"/>
          <c:tx>
            <c:v>4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Absolutely!$X$7:$Y$7</c:f>
              <c:numCache>
                <c:formatCode>General</c:formatCode>
                <c:ptCount val="2"/>
                <c:pt idx="0">
                  <c:v>8390</c:v>
                </c:pt>
                <c:pt idx="1">
                  <c:v>15886</c:v>
                </c:pt>
              </c:numCache>
            </c:numRef>
          </c:xVal>
          <c:yVal>
            <c:numRef>
              <c:f>Absolutely!$Z$7:$AA$7</c:f>
              <c:numCache>
                <c:formatCode>General</c:formatCode>
                <c:ptCount val="2"/>
                <c:pt idx="0">
                  <c:v>11131</c:v>
                </c:pt>
                <c:pt idx="1">
                  <c:v>13388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5D3-44E8-A1E9-0AC8FF7CFC89}"/>
            </c:ext>
          </c:extLst>
        </c:ser>
        <c:ser>
          <c:idx val="16"/>
          <c:order val="15"/>
          <c:tx>
            <c:v>5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Absolutely!$X$8:$Y$8</c:f>
              <c:numCache>
                <c:formatCode>General</c:formatCode>
                <c:ptCount val="2"/>
                <c:pt idx="0">
                  <c:v>15886</c:v>
                </c:pt>
                <c:pt idx="1">
                  <c:v>26440</c:v>
                </c:pt>
              </c:numCache>
            </c:numRef>
          </c:xVal>
          <c:yVal>
            <c:numRef>
              <c:f>Absolutely!$Z$8:$AA$8</c:f>
              <c:numCache>
                <c:formatCode>General</c:formatCode>
                <c:ptCount val="2"/>
                <c:pt idx="0">
                  <c:v>13388</c:v>
                </c:pt>
                <c:pt idx="1">
                  <c:v>13705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5D3-44E8-A1E9-0AC8FF7CFC89}"/>
            </c:ext>
          </c:extLst>
        </c:ser>
        <c:ser>
          <c:idx val="17"/>
          <c:order val="16"/>
          <c:tx>
            <c:v>6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Absolutely!$X$9:$Y$9</c:f>
              <c:numCache>
                <c:formatCode>General</c:formatCode>
                <c:ptCount val="2"/>
                <c:pt idx="0">
                  <c:v>26440</c:v>
                </c:pt>
                <c:pt idx="1">
                  <c:v>29514</c:v>
                </c:pt>
              </c:numCache>
            </c:numRef>
          </c:xVal>
          <c:yVal>
            <c:numRef>
              <c:f>Absolutely!$Z$9:$AA$9</c:f>
              <c:numCache>
                <c:formatCode>General</c:formatCode>
                <c:ptCount val="2"/>
                <c:pt idx="0">
                  <c:v>13705</c:v>
                </c:pt>
                <c:pt idx="1">
                  <c:v>14944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5D3-44E8-A1E9-0AC8FF7CFC89}"/>
            </c:ext>
          </c:extLst>
        </c:ser>
        <c:ser>
          <c:idx val="18"/>
          <c:order val="17"/>
          <c:tx>
            <c:v>7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Absolutely!$X$10:$Y$10</c:f>
              <c:numCache>
                <c:formatCode>General</c:formatCode>
                <c:ptCount val="2"/>
                <c:pt idx="0">
                  <c:v>29514</c:v>
                </c:pt>
                <c:pt idx="1">
                  <c:v>31771</c:v>
                </c:pt>
              </c:numCache>
            </c:numRef>
          </c:xVal>
          <c:yVal>
            <c:numRef>
              <c:f>Absolutely!$Z$10:$AA$10</c:f>
              <c:numCache>
                <c:formatCode>General</c:formatCode>
                <c:ptCount val="2"/>
                <c:pt idx="0">
                  <c:v>14944</c:v>
                </c:pt>
                <c:pt idx="1">
                  <c:v>15435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5D3-44E8-A1E9-0AC8FF7CFC89}"/>
            </c:ext>
          </c:extLst>
        </c:ser>
        <c:ser>
          <c:idx val="19"/>
          <c:order val="18"/>
          <c:tx>
            <c:v>8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Absolutely!$X$11:$Y$11</c:f>
              <c:numCache>
                <c:formatCode>General</c:formatCode>
                <c:ptCount val="2"/>
                <c:pt idx="0">
                  <c:v>31771</c:v>
                </c:pt>
                <c:pt idx="1">
                  <c:v>39010</c:v>
                </c:pt>
              </c:numCache>
            </c:numRef>
          </c:xVal>
          <c:yVal>
            <c:numRef>
              <c:f>Absolutely!$Z$11:$AA$11</c:f>
              <c:numCache>
                <c:formatCode>General</c:formatCode>
                <c:ptCount val="2"/>
                <c:pt idx="0">
                  <c:v>15435</c:v>
                </c:pt>
                <c:pt idx="1">
                  <c:v>15662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5D3-44E8-A1E9-0AC8FF7CFC89}"/>
            </c:ext>
          </c:extLst>
        </c:ser>
        <c:ser>
          <c:idx val="20"/>
          <c:order val="19"/>
          <c:tx>
            <c:v>9</c:v>
          </c:tx>
          <c:spPr>
            <a:ln w="19050">
              <a:solidFill>
                <a:schemeClr val="tx1"/>
              </a:solidFill>
              <a:tailEnd type="stealth" w="lg" len="lg"/>
            </a:ln>
          </c:spPr>
          <c:marker>
            <c:symbol val="none"/>
          </c:marker>
          <c:xVal>
            <c:numRef>
              <c:f>Absolutely!$X$12:$Y$12</c:f>
              <c:numCache>
                <c:formatCode>General</c:formatCode>
                <c:ptCount val="2"/>
                <c:pt idx="0">
                  <c:v>39010</c:v>
                </c:pt>
                <c:pt idx="1">
                  <c:v>42450</c:v>
                </c:pt>
              </c:numCache>
            </c:numRef>
          </c:xVal>
          <c:yVal>
            <c:numRef>
              <c:f>Absolutely!$Z$12:$AA$12</c:f>
              <c:numCache>
                <c:formatCode>General</c:formatCode>
                <c:ptCount val="2"/>
                <c:pt idx="0">
                  <c:v>15662</c:v>
                </c:pt>
                <c:pt idx="1">
                  <c:v>16205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5D3-44E8-A1E9-0AC8FF7CFC89}"/>
            </c:ext>
          </c:extLst>
        </c:ser>
        <c:ser>
          <c:idx val="10"/>
          <c:order val="20"/>
          <c:marker>
            <c:symbol val="none"/>
          </c:marker>
          <c:xVal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xVal>
          <c:yVal>
            <c:numRef>
              <c:f>Absolutely!$B$3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5D3-44E8-A1E9-0AC8FF7CFC89}"/>
            </c:ext>
          </c:extLst>
        </c:ser>
        <c:ser>
          <c:idx val="21"/>
          <c:order val="21"/>
          <c:marker>
            <c:symbol val="none"/>
          </c:marker>
          <c:xVal>
            <c:numRef>
              <c:f>Absolutely!$G$4:$G$32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967</c:v>
                </c:pt>
                <c:pt idx="3">
                  <c:v>1934</c:v>
                </c:pt>
                <c:pt idx="4">
                  <c:v>1934</c:v>
                </c:pt>
                <c:pt idx="5">
                  <c:v>4050</c:v>
                </c:pt>
                <c:pt idx="6">
                  <c:v>6166</c:v>
                </c:pt>
                <c:pt idx="7">
                  <c:v>6166</c:v>
                </c:pt>
                <c:pt idx="8">
                  <c:v>7278</c:v>
                </c:pt>
                <c:pt idx="9">
                  <c:v>8390</c:v>
                </c:pt>
                <c:pt idx="10">
                  <c:v>8390</c:v>
                </c:pt>
                <c:pt idx="11">
                  <c:v>12138</c:v>
                </c:pt>
                <c:pt idx="12">
                  <c:v>15886</c:v>
                </c:pt>
                <c:pt idx="13">
                  <c:v>15886</c:v>
                </c:pt>
                <c:pt idx="14">
                  <c:v>21163</c:v>
                </c:pt>
                <c:pt idx="15">
                  <c:v>26440</c:v>
                </c:pt>
                <c:pt idx="16">
                  <c:v>26440</c:v>
                </c:pt>
                <c:pt idx="17">
                  <c:v>27977</c:v>
                </c:pt>
                <c:pt idx="18">
                  <c:v>29514</c:v>
                </c:pt>
                <c:pt idx="19">
                  <c:v>29514</c:v>
                </c:pt>
                <c:pt idx="20">
                  <c:v>30642.5</c:v>
                </c:pt>
                <c:pt idx="21">
                  <c:v>31771</c:v>
                </c:pt>
                <c:pt idx="22">
                  <c:v>31771</c:v>
                </c:pt>
                <c:pt idx="23">
                  <c:v>35390.5</c:v>
                </c:pt>
                <c:pt idx="24">
                  <c:v>39010</c:v>
                </c:pt>
                <c:pt idx="25">
                  <c:v>39010</c:v>
                </c:pt>
                <c:pt idx="26">
                  <c:v>40730</c:v>
                </c:pt>
                <c:pt idx="27">
                  <c:v>42450</c:v>
                </c:pt>
                <c:pt idx="28">
                  <c:v>42450</c:v>
                </c:pt>
              </c:numCache>
            </c:numRef>
          </c:xVal>
          <c:yVal>
            <c:numRef>
              <c:f>Absolutely!$B$3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5D3-44E8-A1E9-0AC8FF7CF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15840"/>
        <c:axId val="67717760"/>
      </c:scatterChart>
      <c:dateAx>
        <c:axId val="67715840"/>
        <c:scaling>
          <c:orientation val="minMax"/>
          <c:max val="45573"/>
        </c:scaling>
        <c:delete val="0"/>
        <c:axPos val="b"/>
        <c:majorGridlines/>
        <c:title>
          <c:tx>
            <c:strRef>
              <c:f>Absolutely!$C$3</c:f>
              <c:strCache>
                <c:ptCount val="1"/>
                <c:pt idx="0">
                  <c:v>National immates</c:v>
                </c:pt>
              </c:strCache>
            </c:strRef>
          </c:tx>
          <c:layout>
            <c:manualLayout>
              <c:xMode val="edge"/>
              <c:yMode val="edge"/>
              <c:x val="0.61531234143981495"/>
              <c:y val="0.81873157747173497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#\'##0" sourceLinked="0"/>
        <c:majorTickMark val="out"/>
        <c:minorTickMark val="none"/>
        <c:tickLblPos val="nextTo"/>
        <c:spPr>
          <a:noFill/>
          <a:ln w="9525">
            <a:tailEnd type="none"/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de-DE"/>
          </a:p>
        </c:txPr>
        <c:crossAx val="67717760"/>
        <c:crosses val="autoZero"/>
        <c:auto val="0"/>
        <c:lblOffset val="100"/>
        <c:baseTimeUnit val="days"/>
        <c:majorUnit val="10000"/>
        <c:majorTimeUnit val="days"/>
      </c:dateAx>
      <c:valAx>
        <c:axId val="67717760"/>
        <c:scaling>
          <c:orientation val="minMax"/>
        </c:scaling>
        <c:delete val="0"/>
        <c:axPos val="l"/>
        <c:majorGridlines/>
        <c:title>
          <c:tx>
            <c:strRef>
              <c:f>Absolutely!$D$3</c:f>
              <c:strCache>
                <c:ptCount val="1"/>
                <c:pt idx="0">
                  <c:v>Foreign immates</c:v>
                </c:pt>
              </c:strCache>
            </c:strRef>
          </c:tx>
          <c:layout>
            <c:manualLayout>
              <c:xMode val="edge"/>
              <c:yMode val="edge"/>
              <c:x val="2.9156843612969247E-2"/>
              <c:y val="0.22109288422280549"/>
            </c:manualLayout>
          </c:layout>
          <c:overlay val="0"/>
          <c:txPr>
            <a:bodyPr rot="-5400000" vert="horz"/>
            <a:lstStyle/>
            <a:p>
              <a:pPr>
                <a:defRPr sz="1800"/>
              </a:pPr>
              <a:endParaRPr lang="de-DE"/>
            </a:p>
          </c:txPr>
        </c:title>
        <c:numFmt formatCode="#\'##0" sourceLinked="0"/>
        <c:majorTickMark val="out"/>
        <c:minorTickMark val="none"/>
        <c:tickLblPos val="nextTo"/>
        <c:crossAx val="67715840"/>
        <c:crosses val="autoZero"/>
        <c:crossBetween val="between"/>
      </c:valAx>
    </c:plotArea>
    <c:legend>
      <c:legendPos val="t"/>
      <c:legendEntry>
        <c:idx val="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ayout>
        <c:manualLayout>
          <c:xMode val="edge"/>
          <c:yMode val="edge"/>
          <c:x val="0.13880284847841221"/>
          <c:y val="0.8816580359887447"/>
          <c:w val="0.83933788940260878"/>
          <c:h val="6.4195975503062122E-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?subject=Hybrid%20Value%20Profile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mailto:peter.bretscher@bengin.com?subject=Hybrid%20Value%20Profi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159203</xdr:colOff>
      <xdr:row>1</xdr:row>
      <xdr:rowOff>83003</xdr:rowOff>
    </xdr:from>
    <xdr:to>
      <xdr:col>20</xdr:col>
      <xdr:colOff>527239</xdr:colOff>
      <xdr:row>28</xdr:row>
      <xdr:rowOff>145467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0.00804</cdr:x>
      <cdr:y>0.00821</cdr:y>
    </cdr:from>
    <cdr:to>
      <cdr:x>0.00804</cdr:x>
      <cdr:y>0.00821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7ForOPrHWBkoufAvlre2Fw</a:t>
          </a:r>
        </a:p>
      </cdr:txBody>
    </cdr:sp>
  </cdr:relSizeAnchor>
  <cdr:relSizeAnchor xmlns:cdr="http://schemas.openxmlformats.org/drawingml/2006/chartDrawing">
    <cdr:from>
      <cdr:x>0.00804</cdr:x>
      <cdr:y>0</cdr:y>
    </cdr:from>
    <cdr:to>
      <cdr:x>0.05761</cdr:x>
      <cdr:y>1</cdr:y>
    </cdr:to>
    <cdr:sp macro="" textlink="">
      <cdr:nvSpPr>
        <cdr:cNvPr id="3" name="Textfeld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0B086343-59E9-477A-BCF9-9E8926A17E00}"/>
            </a:ext>
          </a:extLst>
        </cdr:cNvPr>
        <cdr:cNvSpPr txBox="1"/>
      </cdr:nvSpPr>
      <cdr:spPr>
        <a:xfrm xmlns:a="http://schemas.openxmlformats.org/drawingml/2006/main" rot="16200000">
          <a:off x="-3184768" y="3286368"/>
          <a:ext cx="6784147" cy="31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© 2020 Peter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Bretscher LC P4120-1000</a:t>
          </a:r>
          <a:endParaRPr lang="de-CH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145596</xdr:colOff>
      <xdr:row>1</xdr:row>
      <xdr:rowOff>110216</xdr:rowOff>
    </xdr:from>
    <xdr:to>
      <xdr:col>20</xdr:col>
      <xdr:colOff>513632</xdr:colOff>
      <xdr:row>28</xdr:row>
      <xdr:rowOff>172680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F606876-1E72-456E-B64D-B4C9A908F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0.00804</cdr:x>
      <cdr:y>0.00821</cdr:y>
    </cdr:from>
    <cdr:to>
      <cdr:x>0.00804</cdr:x>
      <cdr:y>0.00821</cdr:y>
    </cdr:to>
    <cdr:sp macro="" textlink="">
      <cdr:nvSpPr>
        <cdr:cNvPr id="2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7ForOPrHWBkoufAvlre2Fw</a:t>
          </a:r>
        </a:p>
      </cdr:txBody>
    </cdr:sp>
  </cdr:relSizeAnchor>
  <cdr:relSizeAnchor xmlns:cdr="http://schemas.openxmlformats.org/drawingml/2006/chartDrawing">
    <cdr:from>
      <cdr:x>0.43677</cdr:x>
      <cdr:y>0.0625</cdr:y>
    </cdr:from>
    <cdr:to>
      <cdr:x>0.54918</cdr:x>
      <cdr:y>0.19583</cdr:y>
    </cdr:to>
    <cdr:sp macro="" textlink="">
      <cdr:nvSpPr>
        <cdr:cNvPr id="3" name="Textfeld 2">
          <a:extLst xmlns:a="http://schemas.openxmlformats.org/drawingml/2006/main">
            <a:ext uri="{FF2B5EF4-FFF2-40B4-BE49-F238E27FC236}">
              <a16:creationId xmlns:a16="http://schemas.microsoft.com/office/drawing/2014/main" id="{2A022D6A-E0E1-4A9B-B47D-A072274FB8F9}"/>
            </a:ext>
          </a:extLst>
        </cdr:cNvPr>
        <cdr:cNvSpPr txBox="1"/>
      </cdr:nvSpPr>
      <cdr:spPr>
        <a:xfrm xmlns:a="http://schemas.openxmlformats.org/drawingml/2006/main">
          <a:off x="3552826" y="428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0.47658</cdr:x>
      <cdr:y>0.06111</cdr:y>
    </cdr:from>
    <cdr:to>
      <cdr:x>0.58899</cdr:x>
      <cdr:y>0.19444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AE11AC9F-F00D-4542-9AF4-E8C01A6FBE08}"/>
            </a:ext>
          </a:extLst>
        </cdr:cNvPr>
        <cdr:cNvSpPr txBox="1"/>
      </cdr:nvSpPr>
      <cdr:spPr>
        <a:xfrm xmlns:a="http://schemas.openxmlformats.org/drawingml/2006/main">
          <a:off x="3876676" y="419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0.00625</cdr:x>
      <cdr:y>0.00741</cdr:y>
    </cdr:from>
    <cdr:to>
      <cdr:x>0.04473</cdr:x>
      <cdr:y>0.99664</cdr:y>
    </cdr:to>
    <cdr:sp macro="" textlink="">
      <cdr:nvSpPr>
        <cdr:cNvPr id="5" name="Textfeld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8D3B217D-E1C5-48CF-B110-5014E6BBBB34}"/>
            </a:ext>
          </a:extLst>
        </cdr:cNvPr>
        <cdr:cNvSpPr txBox="1"/>
      </cdr:nvSpPr>
      <cdr:spPr>
        <a:xfrm xmlns:a="http://schemas.openxmlformats.org/drawingml/2006/main" rot="16200000">
          <a:off x="-3184768" y="3286368"/>
          <a:ext cx="6784147" cy="3130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© 2020 Peter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Bretscher LC P4120-1000</a:t>
          </a:r>
          <a:endParaRPr lang="de-CH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bengin.net/bes/vector14_e.html" TargetMode="External"/><Relationship Id="rId7" Type="http://schemas.openxmlformats.org/officeDocument/2006/relationships/hyperlink" Target="https://bengin.net/bes/basic_master_e.html" TargetMode="External"/><Relationship Id="rId2" Type="http://schemas.openxmlformats.org/officeDocument/2006/relationships/hyperlink" Target="mailto:peter.bretscher@bengin.com" TargetMode="External"/><Relationship Id="rId1" Type="http://schemas.openxmlformats.org/officeDocument/2006/relationships/hyperlink" Target="https://wp.unil.ch/space/files/2020/04/200405_FinalReport_SPACE_I_2019.pdf" TargetMode="External"/><Relationship Id="rId6" Type="http://schemas.openxmlformats.org/officeDocument/2006/relationships/hyperlink" Target="https://bengin.net/bes/" TargetMode="External"/><Relationship Id="rId5" Type="http://schemas.openxmlformats.org/officeDocument/2006/relationships/hyperlink" Target="https://insede.or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project-nemo.org/" TargetMode="External"/><Relationship Id="rId9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bengin.net/bes/vector14_e.html" TargetMode="External"/><Relationship Id="rId7" Type="http://schemas.openxmlformats.org/officeDocument/2006/relationships/hyperlink" Target="https://bengin.net/bes/basic_master_e.html" TargetMode="External"/><Relationship Id="rId2" Type="http://schemas.openxmlformats.org/officeDocument/2006/relationships/hyperlink" Target="mailto:peter.bretscher@bengin.com" TargetMode="External"/><Relationship Id="rId1" Type="http://schemas.openxmlformats.org/officeDocument/2006/relationships/hyperlink" Target="https://wp.unil.ch/space/files/2020/04/200405_FinalReport_SPACE_I_2019.pdf" TargetMode="External"/><Relationship Id="rId6" Type="http://schemas.openxmlformats.org/officeDocument/2006/relationships/hyperlink" Target="https://bengin.net/bes/" TargetMode="External"/><Relationship Id="rId5" Type="http://schemas.openxmlformats.org/officeDocument/2006/relationships/hyperlink" Target="https://insede.org/" TargetMode="External"/><Relationship Id="rId4" Type="http://schemas.openxmlformats.org/officeDocument/2006/relationships/hyperlink" Target="http://project-nemo.org/" TargetMode="External"/><Relationship Id="rId9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p.unil.ch/space/files/2020/04/200405_FinalReport_SPACE_I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A35"/>
  <sheetViews>
    <sheetView showGridLines="0" tabSelected="1" zoomScale="80" zoomScaleNormal="80" workbookViewId="0"/>
  </sheetViews>
  <sheetFormatPr baseColWidth="10" defaultColWidth="9.140625" defaultRowHeight="15" x14ac:dyDescent="0.25"/>
  <cols>
    <col min="1" max="1" width="3.7109375" style="4" customWidth="1"/>
    <col min="2" max="2" width="25.7109375" style="4" customWidth="1"/>
    <col min="3" max="4" width="9.140625" style="4"/>
    <col min="5" max="5" width="4.85546875" style="4" customWidth="1"/>
    <col min="6" max="6" width="5.42578125" style="1" customWidth="1"/>
    <col min="7" max="7" width="9.140625" style="1"/>
    <col min="8" max="18" width="6.140625" style="1" customWidth="1"/>
    <col min="19" max="19" width="7.28515625" style="1" customWidth="1"/>
    <col min="20" max="20" width="23.85546875" style="1" customWidth="1"/>
    <col min="21" max="21" width="9.140625" style="4"/>
    <col min="22" max="27" width="9.140625" style="1"/>
    <col min="28" max="16384" width="9.140625" style="4"/>
  </cols>
  <sheetData>
    <row r="1" spans="1:27" ht="21" x14ac:dyDescent="0.35">
      <c r="A1" s="30" t="s">
        <v>89</v>
      </c>
      <c r="F1" s="31" t="s">
        <v>104</v>
      </c>
    </row>
    <row r="2" spans="1:27" ht="18.75" customHeight="1" x14ac:dyDescent="0.3">
      <c r="B2" s="8"/>
      <c r="G2" s="6" t="str">
        <f>C3</f>
        <v>National immates</v>
      </c>
      <c r="I2" s="23" t="str">
        <f>D3</f>
        <v>Foreign immates</v>
      </c>
      <c r="J2" s="23"/>
      <c r="K2" s="23"/>
      <c r="L2" s="23"/>
      <c r="M2" s="23"/>
      <c r="N2" s="23"/>
      <c r="O2" s="23"/>
      <c r="P2" s="23"/>
      <c r="Q2" s="23"/>
      <c r="R2" s="23"/>
    </row>
    <row r="3" spans="1:27" s="5" customFormat="1" ht="106.5" customHeight="1" x14ac:dyDescent="0.25">
      <c r="B3" s="29" t="s">
        <v>88</v>
      </c>
      <c r="C3" s="2" t="s">
        <v>22</v>
      </c>
      <c r="D3" s="2" t="s">
        <v>23</v>
      </c>
      <c r="F3" s="7"/>
      <c r="G3" s="7"/>
      <c r="H3" s="7" t="s">
        <v>1</v>
      </c>
      <c r="I3" s="7" t="str">
        <f>B4</f>
        <v>Switzerland</v>
      </c>
      <c r="J3" s="7" t="str">
        <f>B5</f>
        <v>Austria</v>
      </c>
      <c r="K3" s="7" t="str">
        <f>B6</f>
        <v>Norway</v>
      </c>
      <c r="L3" s="7" t="str">
        <f>B7</f>
        <v>Netherlands</v>
      </c>
      <c r="M3" s="7" t="str">
        <f>B8</f>
        <v>Serbia</v>
      </c>
      <c r="N3" s="7" t="str">
        <f>B9</f>
        <v>Sweden</v>
      </c>
      <c r="O3" s="7" t="str">
        <f>B10</f>
        <v>Finland</v>
      </c>
      <c r="P3" s="7" t="str">
        <f>B11</f>
        <v>Bulgaria</v>
      </c>
      <c r="Q3" s="7" t="str">
        <f>B12</f>
        <v>Ireland</v>
      </c>
      <c r="R3" s="7" t="s">
        <v>2</v>
      </c>
      <c r="S3" s="7" t="s">
        <v>0</v>
      </c>
      <c r="T3" s="7"/>
      <c r="V3" s="7" t="s">
        <v>3</v>
      </c>
      <c r="W3" s="7" t="s">
        <v>4</v>
      </c>
      <c r="X3" s="7" t="s">
        <v>5</v>
      </c>
      <c r="Y3" s="7" t="s">
        <v>6</v>
      </c>
      <c r="Z3" s="7" t="s">
        <v>7</v>
      </c>
      <c r="AA3" s="7" t="s">
        <v>8</v>
      </c>
    </row>
    <row r="4" spans="1:27" x14ac:dyDescent="0.25">
      <c r="B4" s="3" t="s">
        <v>21</v>
      </c>
      <c r="C4" s="41">
        <v>28.4</v>
      </c>
      <c r="D4" s="41">
        <f>100-C4</f>
        <v>71.599999999999994</v>
      </c>
      <c r="G4" s="1">
        <v>0</v>
      </c>
      <c r="H4" s="1">
        <v>0</v>
      </c>
      <c r="I4" s="1">
        <v>0</v>
      </c>
      <c r="R4" s="1">
        <v>0</v>
      </c>
      <c r="V4" s="1">
        <f>C4</f>
        <v>28.4</v>
      </c>
      <c r="W4" s="1">
        <f>D4</f>
        <v>71.599999999999994</v>
      </c>
      <c r="X4" s="1">
        <v>0</v>
      </c>
      <c r="Y4" s="1">
        <f>X4+V4</f>
        <v>28.4</v>
      </c>
      <c r="Z4" s="1">
        <v>0</v>
      </c>
      <c r="AA4" s="1">
        <f>Z4+W4</f>
        <v>71.599999999999994</v>
      </c>
    </row>
    <row r="5" spans="1:27" x14ac:dyDescent="0.25">
      <c r="B5" s="3" t="s">
        <v>9</v>
      </c>
      <c r="C5" s="41">
        <v>54.2</v>
      </c>
      <c r="D5" s="41">
        <f t="shared" ref="D5:D12" si="0">100-C5</f>
        <v>45.8</v>
      </c>
      <c r="G5" s="1">
        <v>0</v>
      </c>
      <c r="H5" s="1">
        <v>0</v>
      </c>
      <c r="I5" s="1">
        <f>D4</f>
        <v>71.599999999999994</v>
      </c>
      <c r="R5" s="1">
        <v>0</v>
      </c>
      <c r="V5" s="1">
        <f t="shared" ref="V5:W12" si="1">C5</f>
        <v>54.2</v>
      </c>
      <c r="W5" s="1">
        <f t="shared" si="1"/>
        <v>45.8</v>
      </c>
      <c r="X5" s="1">
        <f>Y4</f>
        <v>28.4</v>
      </c>
      <c r="Y5" s="1">
        <f>X5+V5</f>
        <v>82.6</v>
      </c>
      <c r="Z5" s="1">
        <f>AA4</f>
        <v>71.599999999999994</v>
      </c>
      <c r="AA5" s="1">
        <f>Z5+W5</f>
        <v>117.39999999999999</v>
      </c>
    </row>
    <row r="6" spans="1:27" x14ac:dyDescent="0.25">
      <c r="B6" s="3" t="s">
        <v>10</v>
      </c>
      <c r="C6" s="41">
        <v>67.400000000000006</v>
      </c>
      <c r="D6" s="41">
        <f t="shared" si="0"/>
        <v>32.599999999999994</v>
      </c>
      <c r="G6" s="1">
        <f>(G5+G7)/2</f>
        <v>14.2</v>
      </c>
      <c r="H6" s="1">
        <v>0</v>
      </c>
      <c r="I6" s="1">
        <f>D4</f>
        <v>71.599999999999994</v>
      </c>
      <c r="R6" s="1">
        <v>0</v>
      </c>
      <c r="S6" s="1">
        <v>10</v>
      </c>
      <c r="T6" s="1" t="str">
        <f>B4</f>
        <v>Switzerland</v>
      </c>
      <c r="V6" s="1">
        <f t="shared" si="1"/>
        <v>67.400000000000006</v>
      </c>
      <c r="W6" s="1">
        <f t="shared" si="1"/>
        <v>32.599999999999994</v>
      </c>
      <c r="X6" s="1">
        <f t="shared" ref="X6:X13" si="2">Y5</f>
        <v>82.6</v>
      </c>
      <c r="Y6" s="1">
        <f t="shared" ref="Y6:Y12" si="3">X6+V6</f>
        <v>150</v>
      </c>
      <c r="Z6" s="1">
        <f t="shared" ref="Z6:Z13" si="4">AA5</f>
        <v>117.39999999999999</v>
      </c>
      <c r="AA6" s="1">
        <f t="shared" ref="AA6:AA12" si="5">Z6+W6</f>
        <v>150</v>
      </c>
    </row>
    <row r="7" spans="1:27" x14ac:dyDescent="0.25">
      <c r="B7" s="3" t="s">
        <v>24</v>
      </c>
      <c r="C7" s="41">
        <v>96.6</v>
      </c>
      <c r="D7" s="41">
        <f t="shared" si="0"/>
        <v>3.4000000000000057</v>
      </c>
      <c r="G7" s="1">
        <f>C4</f>
        <v>28.4</v>
      </c>
      <c r="H7" s="1">
        <v>0</v>
      </c>
      <c r="I7" s="1">
        <f>D4</f>
        <v>71.599999999999994</v>
      </c>
      <c r="J7" s="1">
        <v>0</v>
      </c>
      <c r="R7" s="1">
        <v>0</v>
      </c>
      <c r="V7" s="1">
        <f t="shared" si="1"/>
        <v>96.6</v>
      </c>
      <c r="W7" s="1">
        <f t="shared" si="1"/>
        <v>3.4000000000000057</v>
      </c>
      <c r="X7" s="1">
        <f t="shared" si="2"/>
        <v>150</v>
      </c>
      <c r="Y7" s="1">
        <f t="shared" si="3"/>
        <v>246.6</v>
      </c>
      <c r="Z7" s="1">
        <f t="shared" si="4"/>
        <v>150</v>
      </c>
      <c r="AA7" s="1">
        <f t="shared" si="5"/>
        <v>153.4</v>
      </c>
    </row>
    <row r="8" spans="1:27" x14ac:dyDescent="0.25">
      <c r="B8" s="3" t="s">
        <v>11</v>
      </c>
      <c r="C8" s="41">
        <v>98.2</v>
      </c>
      <c r="D8" s="41">
        <f t="shared" si="0"/>
        <v>1.7999999999999972</v>
      </c>
      <c r="G8" s="1">
        <f>G7</f>
        <v>28.4</v>
      </c>
      <c r="H8" s="1">
        <f>I5</f>
        <v>71.599999999999994</v>
      </c>
      <c r="I8" s="1">
        <v>0</v>
      </c>
      <c r="J8" s="1">
        <f>D5</f>
        <v>45.8</v>
      </c>
      <c r="R8" s="1">
        <v>0</v>
      </c>
      <c r="V8" s="1">
        <f t="shared" si="1"/>
        <v>98.2</v>
      </c>
      <c r="W8" s="1">
        <f t="shared" si="1"/>
        <v>1.7999999999999972</v>
      </c>
      <c r="X8" s="1">
        <f t="shared" si="2"/>
        <v>246.6</v>
      </c>
      <c r="Y8" s="1">
        <f t="shared" si="3"/>
        <v>344.8</v>
      </c>
      <c r="Z8" s="1">
        <f t="shared" si="4"/>
        <v>153.4</v>
      </c>
      <c r="AA8" s="1">
        <f t="shared" si="5"/>
        <v>155.19999999999999</v>
      </c>
    </row>
    <row r="9" spans="1:27" x14ac:dyDescent="0.25">
      <c r="B9" s="3" t="s">
        <v>12</v>
      </c>
      <c r="C9" s="41">
        <v>71.3</v>
      </c>
      <c r="D9" s="41">
        <f t="shared" si="0"/>
        <v>28.700000000000003</v>
      </c>
      <c r="G9" s="1">
        <f>(G8+G10)/2</f>
        <v>55.5</v>
      </c>
      <c r="H9" s="1">
        <f>I6</f>
        <v>71.599999999999994</v>
      </c>
      <c r="J9" s="1">
        <f>D5</f>
        <v>45.8</v>
      </c>
      <c r="R9" s="1">
        <v>0</v>
      </c>
      <c r="S9" s="1">
        <v>10</v>
      </c>
      <c r="T9" s="1" t="str">
        <f>B5</f>
        <v>Austria</v>
      </c>
      <c r="V9" s="1">
        <f t="shared" si="1"/>
        <v>71.3</v>
      </c>
      <c r="W9" s="1">
        <f t="shared" si="1"/>
        <v>28.700000000000003</v>
      </c>
      <c r="X9" s="1">
        <f t="shared" si="2"/>
        <v>344.8</v>
      </c>
      <c r="Y9" s="1">
        <f t="shared" si="3"/>
        <v>416.1</v>
      </c>
      <c r="Z9" s="1">
        <f t="shared" si="4"/>
        <v>155.19999999999999</v>
      </c>
      <c r="AA9" s="1">
        <f t="shared" si="5"/>
        <v>183.89999999999998</v>
      </c>
    </row>
    <row r="10" spans="1:27" x14ac:dyDescent="0.25">
      <c r="B10" s="3" t="s">
        <v>13</v>
      </c>
      <c r="C10" s="41">
        <v>98.7</v>
      </c>
      <c r="D10" s="41">
        <f t="shared" si="0"/>
        <v>1.2999999999999972</v>
      </c>
      <c r="G10" s="1">
        <f>C5+G7</f>
        <v>82.6</v>
      </c>
      <c r="H10" s="1">
        <f>I7</f>
        <v>71.599999999999994</v>
      </c>
      <c r="J10" s="1">
        <f>D5</f>
        <v>45.8</v>
      </c>
      <c r="K10" s="1">
        <v>0</v>
      </c>
      <c r="R10" s="1">
        <v>0</v>
      </c>
      <c r="V10" s="1">
        <f t="shared" si="1"/>
        <v>98.7</v>
      </c>
      <c r="W10" s="1">
        <f t="shared" si="1"/>
        <v>1.2999999999999972</v>
      </c>
      <c r="X10" s="1">
        <f t="shared" si="2"/>
        <v>416.1</v>
      </c>
      <c r="Y10" s="1">
        <f t="shared" si="3"/>
        <v>514.80000000000007</v>
      </c>
      <c r="Z10" s="1">
        <f t="shared" si="4"/>
        <v>183.89999999999998</v>
      </c>
      <c r="AA10" s="1">
        <f t="shared" si="5"/>
        <v>185.2</v>
      </c>
    </row>
    <row r="11" spans="1:27" x14ac:dyDescent="0.25">
      <c r="B11" s="3" t="s">
        <v>25</v>
      </c>
      <c r="C11" s="41">
        <v>58.9</v>
      </c>
      <c r="D11" s="41">
        <f t="shared" si="0"/>
        <v>41.1</v>
      </c>
      <c r="G11" s="1">
        <f>C5+G7</f>
        <v>82.6</v>
      </c>
      <c r="H11" s="1">
        <f>H8+J8</f>
        <v>117.39999999999999</v>
      </c>
      <c r="J11" s="1">
        <v>0</v>
      </c>
      <c r="K11" s="1">
        <f>D6</f>
        <v>32.599999999999994</v>
      </c>
      <c r="R11" s="1">
        <v>0</v>
      </c>
      <c r="V11" s="1">
        <f t="shared" si="1"/>
        <v>58.9</v>
      </c>
      <c r="W11" s="1">
        <f t="shared" si="1"/>
        <v>41.1</v>
      </c>
      <c r="X11" s="1">
        <f t="shared" si="2"/>
        <v>514.80000000000007</v>
      </c>
      <c r="Y11" s="1">
        <f t="shared" si="3"/>
        <v>573.70000000000005</v>
      </c>
      <c r="Z11" s="1">
        <f t="shared" si="4"/>
        <v>185.2</v>
      </c>
      <c r="AA11" s="1">
        <f t="shared" si="5"/>
        <v>226.29999999999998</v>
      </c>
    </row>
    <row r="12" spans="1:27" x14ac:dyDescent="0.25">
      <c r="B12" s="3" t="s">
        <v>14</v>
      </c>
      <c r="C12" s="41">
        <v>89.2</v>
      </c>
      <c r="D12" s="41">
        <f t="shared" si="0"/>
        <v>10.799999999999997</v>
      </c>
      <c r="G12" s="1">
        <f>(G11+G13)/2</f>
        <v>116.3</v>
      </c>
      <c r="H12" s="1">
        <f>H9+J9</f>
        <v>117.39999999999999</v>
      </c>
      <c r="K12" s="1">
        <f>D6</f>
        <v>32.599999999999994</v>
      </c>
      <c r="R12" s="1">
        <v>0</v>
      </c>
      <c r="S12" s="1">
        <v>18</v>
      </c>
      <c r="T12" s="1" t="str">
        <f>B6</f>
        <v>Norway</v>
      </c>
      <c r="V12" s="1">
        <f t="shared" si="1"/>
        <v>89.2</v>
      </c>
      <c r="W12" s="1">
        <f t="shared" si="1"/>
        <v>10.799999999999997</v>
      </c>
      <c r="X12" s="1">
        <f t="shared" si="2"/>
        <v>573.70000000000005</v>
      </c>
      <c r="Y12" s="1">
        <f t="shared" si="3"/>
        <v>662.90000000000009</v>
      </c>
      <c r="Z12" s="1">
        <f t="shared" si="4"/>
        <v>226.29999999999998</v>
      </c>
      <c r="AA12" s="1">
        <f t="shared" si="5"/>
        <v>237.09999999999997</v>
      </c>
    </row>
    <row r="13" spans="1:27" x14ac:dyDescent="0.25">
      <c r="G13" s="1">
        <f>C6+G10</f>
        <v>150</v>
      </c>
      <c r="H13" s="1">
        <f>H10+J10</f>
        <v>117.39999999999999</v>
      </c>
      <c r="K13" s="1">
        <f>D6</f>
        <v>32.599999999999994</v>
      </c>
      <c r="L13" s="1">
        <v>0</v>
      </c>
      <c r="R13" s="1">
        <v>0</v>
      </c>
      <c r="X13" s="1">
        <f t="shared" si="2"/>
        <v>662.90000000000009</v>
      </c>
      <c r="Z13" s="1">
        <f t="shared" si="4"/>
        <v>237.09999999999997</v>
      </c>
    </row>
    <row r="14" spans="1:27" x14ac:dyDescent="0.25">
      <c r="B14" s="4" t="s">
        <v>83</v>
      </c>
      <c r="C14" s="12" t="s">
        <v>82</v>
      </c>
      <c r="G14" s="1">
        <f>C6+G11</f>
        <v>150</v>
      </c>
      <c r="H14" s="1">
        <f>H11+K11</f>
        <v>150</v>
      </c>
      <c r="K14" s="1">
        <v>0</v>
      </c>
      <c r="L14" s="1">
        <f>D7</f>
        <v>3.4000000000000057</v>
      </c>
      <c r="R14" s="1">
        <v>0</v>
      </c>
    </row>
    <row r="15" spans="1:27" x14ac:dyDescent="0.25">
      <c r="B15" s="4" t="s">
        <v>85</v>
      </c>
      <c r="G15" s="1">
        <f>(G14+G16)/2</f>
        <v>198.3</v>
      </c>
      <c r="H15" s="1">
        <f>H12+K12</f>
        <v>150</v>
      </c>
      <c r="L15" s="1">
        <f>D7</f>
        <v>3.4000000000000057</v>
      </c>
      <c r="R15" s="1">
        <v>0</v>
      </c>
      <c r="S15" s="1">
        <v>28</v>
      </c>
      <c r="T15" s="1" t="str">
        <f>B7</f>
        <v>Netherlands</v>
      </c>
    </row>
    <row r="16" spans="1:27" x14ac:dyDescent="0.25">
      <c r="B16" s="10" t="s">
        <v>86</v>
      </c>
      <c r="G16" s="1">
        <f>C7+G13</f>
        <v>246.6</v>
      </c>
      <c r="H16" s="1">
        <f>H13+K13</f>
        <v>150</v>
      </c>
      <c r="L16" s="1">
        <f>D7</f>
        <v>3.4000000000000057</v>
      </c>
      <c r="M16" s="1">
        <v>0</v>
      </c>
      <c r="R16" s="1">
        <v>0</v>
      </c>
    </row>
    <row r="17" spans="2:20" x14ac:dyDescent="0.25">
      <c r="G17" s="1">
        <f>+C7+G14</f>
        <v>246.6</v>
      </c>
      <c r="H17" s="1">
        <f>H14+L14</f>
        <v>153.4</v>
      </c>
      <c r="L17" s="1">
        <v>0</v>
      </c>
      <c r="M17" s="1">
        <f>D8</f>
        <v>1.7999999999999972</v>
      </c>
      <c r="R17" s="1">
        <v>0</v>
      </c>
    </row>
    <row r="18" spans="2:20" x14ac:dyDescent="0.25">
      <c r="G18" s="1">
        <f>(G17+G19)/2</f>
        <v>295.7</v>
      </c>
      <c r="H18" s="1">
        <f>H15+L15</f>
        <v>153.4</v>
      </c>
      <c r="M18" s="1">
        <f>D8</f>
        <v>1.7999999999999972</v>
      </c>
      <c r="R18" s="1">
        <v>0</v>
      </c>
      <c r="S18" s="1">
        <v>40</v>
      </c>
      <c r="T18" s="1" t="str">
        <f>B8</f>
        <v>Serbia</v>
      </c>
    </row>
    <row r="19" spans="2:20" ht="30" customHeight="1" x14ac:dyDescent="0.25">
      <c r="B19" s="35" t="s">
        <v>90</v>
      </c>
      <c r="C19" s="35"/>
      <c r="D19" s="32" t="s">
        <v>91</v>
      </c>
      <c r="G19" s="1">
        <f>+C8+G16</f>
        <v>344.8</v>
      </c>
      <c r="H19" s="1">
        <f>H16+L16</f>
        <v>153.4</v>
      </c>
      <c r="M19" s="1">
        <f>D8</f>
        <v>1.7999999999999972</v>
      </c>
      <c r="N19" s="1">
        <v>0</v>
      </c>
      <c r="R19" s="1">
        <v>0</v>
      </c>
    </row>
    <row r="20" spans="2:20" ht="30" customHeight="1" x14ac:dyDescent="0.25">
      <c r="B20" s="39" t="s">
        <v>92</v>
      </c>
      <c r="C20" s="39"/>
      <c r="D20" s="9" t="s">
        <v>93</v>
      </c>
      <c r="G20" s="1">
        <f>+C8+G17</f>
        <v>344.8</v>
      </c>
      <c r="H20" s="1">
        <f>H17+M17</f>
        <v>155.19999999999999</v>
      </c>
      <c r="M20" s="1">
        <v>0</v>
      </c>
      <c r="N20" s="1">
        <f>D9</f>
        <v>28.700000000000003</v>
      </c>
      <c r="R20" s="1">
        <v>0</v>
      </c>
    </row>
    <row r="21" spans="2:20" ht="30" customHeight="1" x14ac:dyDescent="0.25">
      <c r="B21" s="39" t="s">
        <v>94</v>
      </c>
      <c r="C21" s="39"/>
      <c r="D21" s="9" t="s">
        <v>95</v>
      </c>
      <c r="G21" s="1">
        <f>(G20+G22)/2</f>
        <v>380.45000000000005</v>
      </c>
      <c r="H21" s="1">
        <f>H18+M18</f>
        <v>155.19999999999999</v>
      </c>
      <c r="N21" s="1">
        <f>D9</f>
        <v>28.700000000000003</v>
      </c>
      <c r="R21" s="1">
        <v>0</v>
      </c>
      <c r="S21" s="1">
        <v>30</v>
      </c>
      <c r="T21" s="1" t="str">
        <f>B9</f>
        <v>Sweden</v>
      </c>
    </row>
    <row r="22" spans="2:20" ht="30" customHeight="1" x14ac:dyDescent="0.25">
      <c r="B22" s="35" t="s">
        <v>96</v>
      </c>
      <c r="C22" s="35"/>
      <c r="D22" s="33"/>
      <c r="G22" s="1">
        <f>+C9+G19</f>
        <v>416.1</v>
      </c>
      <c r="H22" s="1">
        <f>H19+M19</f>
        <v>155.19999999999999</v>
      </c>
      <c r="N22" s="1">
        <f>D9</f>
        <v>28.700000000000003</v>
      </c>
      <c r="O22" s="1">
        <v>0</v>
      </c>
      <c r="R22" s="1">
        <v>0</v>
      </c>
    </row>
    <row r="23" spans="2:20" ht="30" customHeight="1" x14ac:dyDescent="0.25">
      <c r="B23" s="35" t="s">
        <v>97</v>
      </c>
      <c r="C23" s="35"/>
      <c r="D23" s="34"/>
      <c r="G23" s="1">
        <f>+C9+G20</f>
        <v>416.1</v>
      </c>
      <c r="H23" s="1">
        <f>H20+N20</f>
        <v>183.89999999999998</v>
      </c>
      <c r="N23" s="1">
        <v>0</v>
      </c>
      <c r="O23" s="1">
        <f>D10</f>
        <v>1.2999999999999972</v>
      </c>
      <c r="R23" s="1">
        <v>0</v>
      </c>
    </row>
    <row r="24" spans="2:20" ht="30" customHeight="1" x14ac:dyDescent="0.25">
      <c r="B24" s="35" t="s">
        <v>98</v>
      </c>
      <c r="C24" s="35"/>
      <c r="D24" s="34"/>
      <c r="G24" s="1">
        <f>(G23+G25)/2</f>
        <v>465.45000000000005</v>
      </c>
      <c r="H24" s="1">
        <f>H21+N21</f>
        <v>183.89999999999998</v>
      </c>
      <c r="O24" s="1">
        <f>D10</f>
        <v>1.2999999999999972</v>
      </c>
      <c r="R24" s="1">
        <v>0</v>
      </c>
      <c r="S24" s="1">
        <v>35</v>
      </c>
      <c r="T24" s="1" t="str">
        <f>B10</f>
        <v>Finland</v>
      </c>
    </row>
    <row r="25" spans="2:20" x14ac:dyDescent="0.25">
      <c r="B25" s="40" t="s">
        <v>99</v>
      </c>
      <c r="C25" s="40"/>
      <c r="D25" s="34"/>
      <c r="G25" s="1">
        <f>+C10+G22</f>
        <v>514.80000000000007</v>
      </c>
      <c r="H25" s="1">
        <f>H22+N22</f>
        <v>183.89999999999998</v>
      </c>
      <c r="O25" s="1">
        <f>D10</f>
        <v>1.2999999999999972</v>
      </c>
      <c r="P25" s="1">
        <v>0</v>
      </c>
      <c r="R25" s="1">
        <v>0</v>
      </c>
    </row>
    <row r="26" spans="2:20" x14ac:dyDescent="0.25">
      <c r="B26" s="35" t="s">
        <v>100</v>
      </c>
      <c r="C26" s="35"/>
      <c r="D26" s="34"/>
      <c r="G26" s="1">
        <f>+C10+G23</f>
        <v>514.80000000000007</v>
      </c>
      <c r="H26" s="1">
        <f>H23+O23</f>
        <v>185.2</v>
      </c>
      <c r="O26" s="1">
        <v>0</v>
      </c>
      <c r="P26" s="1">
        <f>D11</f>
        <v>41.1</v>
      </c>
      <c r="R26" s="1">
        <v>0</v>
      </c>
    </row>
    <row r="27" spans="2:20" x14ac:dyDescent="0.25">
      <c r="B27" s="35" t="s">
        <v>101</v>
      </c>
      <c r="C27" s="35"/>
      <c r="D27" s="9" t="s">
        <v>102</v>
      </c>
      <c r="G27" s="1">
        <f>(G26+G28)/2</f>
        <v>544.25</v>
      </c>
      <c r="H27" s="1">
        <f>H24+O24</f>
        <v>185.2</v>
      </c>
      <c r="P27" s="1">
        <f>D11</f>
        <v>41.1</v>
      </c>
      <c r="R27" s="1">
        <v>0</v>
      </c>
      <c r="S27" s="1">
        <v>30</v>
      </c>
      <c r="T27" s="1" t="str">
        <f>B11</f>
        <v>Bulgaria</v>
      </c>
    </row>
    <row r="28" spans="2:20" x14ac:dyDescent="0.25">
      <c r="B28" s="37"/>
      <c r="C28" s="36"/>
      <c r="D28" s="9" t="s">
        <v>103</v>
      </c>
      <c r="G28" s="1">
        <f>+C11+G25</f>
        <v>573.70000000000005</v>
      </c>
      <c r="H28" s="1">
        <f>H25+O25</f>
        <v>185.2</v>
      </c>
      <c r="P28" s="1">
        <f>D11</f>
        <v>41.1</v>
      </c>
      <c r="Q28" s="1">
        <v>0</v>
      </c>
      <c r="R28" s="1">
        <v>0</v>
      </c>
    </row>
    <row r="29" spans="2:20" x14ac:dyDescent="0.25">
      <c r="G29" s="1">
        <f>+C11+G26</f>
        <v>573.70000000000005</v>
      </c>
      <c r="H29" s="1">
        <f>H26+P26</f>
        <v>226.29999999999998</v>
      </c>
      <c r="P29" s="1">
        <v>0</v>
      </c>
      <c r="Q29" s="1">
        <f>D12</f>
        <v>10.799999999999997</v>
      </c>
      <c r="R29" s="1">
        <v>0</v>
      </c>
    </row>
    <row r="30" spans="2:20" x14ac:dyDescent="0.25">
      <c r="C30" s="9"/>
      <c r="G30" s="1">
        <f>(G29+G31)/2</f>
        <v>618.30000000000007</v>
      </c>
      <c r="H30" s="1">
        <f>H27+P27</f>
        <v>226.29999999999998</v>
      </c>
      <c r="Q30" s="1">
        <f>D12</f>
        <v>10.799999999999997</v>
      </c>
      <c r="R30" s="1">
        <v>0</v>
      </c>
      <c r="S30" s="1">
        <v>48</v>
      </c>
      <c r="T30" s="1" t="str">
        <f>B12</f>
        <v>Ireland</v>
      </c>
    </row>
    <row r="31" spans="2:20" x14ac:dyDescent="0.25">
      <c r="G31" s="1">
        <f>+C12+G28</f>
        <v>662.90000000000009</v>
      </c>
      <c r="H31" s="1">
        <f>H28+P28</f>
        <v>226.29999999999998</v>
      </c>
      <c r="Q31" s="1">
        <f>D12</f>
        <v>10.799999999999997</v>
      </c>
      <c r="R31" s="1">
        <v>0</v>
      </c>
    </row>
    <row r="32" spans="2:20" x14ac:dyDescent="0.25">
      <c r="G32" s="1">
        <f>+C12+G29</f>
        <v>662.90000000000009</v>
      </c>
      <c r="H32" s="1">
        <f>H31</f>
        <v>226.29999999999998</v>
      </c>
      <c r="Q32" s="1">
        <v>0</v>
      </c>
      <c r="R32" s="1">
        <v>0</v>
      </c>
    </row>
    <row r="33" spans="2:3" x14ac:dyDescent="0.25">
      <c r="C33" s="9"/>
    </row>
    <row r="34" spans="2:3" x14ac:dyDescent="0.25">
      <c r="B34" s="10"/>
    </row>
    <row r="35" spans="2:3" x14ac:dyDescent="0.25">
      <c r="B35" s="10"/>
    </row>
  </sheetData>
  <mergeCells count="10">
    <mergeCell ref="B23:C23"/>
    <mergeCell ref="B24:C24"/>
    <mergeCell ref="B25:C25"/>
    <mergeCell ref="B26:C26"/>
    <mergeCell ref="B27:C27"/>
    <mergeCell ref="I2:R2"/>
    <mergeCell ref="B19:C19"/>
    <mergeCell ref="B20:C20"/>
    <mergeCell ref="B21:C21"/>
    <mergeCell ref="B22:C22"/>
  </mergeCells>
  <hyperlinks>
    <hyperlink ref="C14" r:id="rId1" xr:uid="{64D84357-71EB-4AEC-97E2-91319EF1E30B}"/>
    <hyperlink ref="B25" r:id="rId2" xr:uid="{CD0C959B-CDD7-4F16-98DA-E5FDB87BC774}"/>
    <hyperlink ref="D27" r:id="rId3" xr:uid="{F1A6A873-0105-4F8A-8D2B-32EB5A5AC528}"/>
    <hyperlink ref="D19" r:id="rId4" xr:uid="{6A71FEB3-811C-4078-9295-AAEA1CCCD467}"/>
    <hyperlink ref="D20" r:id="rId5" xr:uid="{01A84057-615A-41A7-BD0A-AAB1E69F2CFC}"/>
    <hyperlink ref="D21" r:id="rId6" xr:uid="{F6118773-5CEC-4E0C-A02F-A8761F5D9005}"/>
    <hyperlink ref="D28" r:id="rId7" xr:uid="{5DF25FFD-940C-45FE-B022-90AFF31678DA}"/>
  </hyperlinks>
  <pageMargins left="0.70866141732283472" right="0.70866141732283472" top="0.74803149606299213" bottom="0.74803149606299213" header="0.31496062992125984" footer="0.31496062992125984"/>
  <pageSetup paperSize="9" scale="57" orientation="landscape" horizontalDpi="4294967294" verticalDpi="0" r:id="rId8"/>
  <headerFooter>
    <oddFooter>&amp;L&amp;F&amp;R&amp;A</oddFooter>
  </headerFooter>
  <customProperties>
    <customPr name="DVSECTIONID" r:id="rId9"/>
  </customPropertie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3B51-CCC3-43B9-8CD9-B3E8E0D7195C}">
  <sheetPr>
    <pageSetUpPr fitToPage="1"/>
  </sheetPr>
  <dimension ref="A1:AA32"/>
  <sheetViews>
    <sheetView showGridLines="0" zoomScale="80" zoomScaleNormal="80" workbookViewId="0"/>
  </sheetViews>
  <sheetFormatPr baseColWidth="10" defaultColWidth="9.140625" defaultRowHeight="15" x14ac:dyDescent="0.25"/>
  <cols>
    <col min="1" max="1" width="3.7109375" style="4" customWidth="1"/>
    <col min="2" max="2" width="25.7109375" style="4" customWidth="1"/>
    <col min="3" max="4" width="9.140625" style="4"/>
    <col min="5" max="5" width="4.85546875" style="4" customWidth="1"/>
    <col min="6" max="6" width="5.42578125" style="1" customWidth="1"/>
    <col min="7" max="7" width="9.140625" style="1"/>
    <col min="8" max="18" width="6.140625" style="1" customWidth="1"/>
    <col min="19" max="19" width="7.28515625" style="1" customWidth="1"/>
    <col min="20" max="20" width="23.85546875" style="1" customWidth="1"/>
    <col min="21" max="21" width="9.140625" style="4"/>
    <col min="22" max="27" width="9.140625" style="1"/>
    <col min="28" max="16384" width="9.140625" style="4"/>
  </cols>
  <sheetData>
    <row r="1" spans="1:27" ht="21" x14ac:dyDescent="0.35">
      <c r="A1" s="30" t="s">
        <v>89</v>
      </c>
      <c r="F1" s="31" t="s">
        <v>104</v>
      </c>
    </row>
    <row r="2" spans="1:27" ht="18.75" customHeight="1" x14ac:dyDescent="0.3">
      <c r="B2" s="8"/>
      <c r="G2" s="6" t="str">
        <f>C3</f>
        <v>National immates</v>
      </c>
      <c r="I2" s="23" t="str">
        <f>D3</f>
        <v>Foreign immates</v>
      </c>
      <c r="J2" s="23"/>
      <c r="K2" s="23"/>
      <c r="L2" s="23"/>
      <c r="M2" s="23"/>
      <c r="N2" s="23"/>
      <c r="O2" s="23"/>
      <c r="P2" s="23"/>
      <c r="Q2" s="23"/>
      <c r="R2" s="23"/>
    </row>
    <row r="3" spans="1:27" s="5" customFormat="1" ht="106.5" customHeight="1" x14ac:dyDescent="0.25">
      <c r="B3" s="28" t="s">
        <v>87</v>
      </c>
      <c r="C3" s="13" t="s">
        <v>22</v>
      </c>
      <c r="D3" s="13" t="s">
        <v>23</v>
      </c>
      <c r="F3" s="7"/>
      <c r="G3" s="7"/>
      <c r="H3" s="7" t="s">
        <v>1</v>
      </c>
      <c r="I3" s="7" t="str">
        <f>B4</f>
        <v>Switzerland</v>
      </c>
      <c r="J3" s="7" t="str">
        <f>B5</f>
        <v>Austria</v>
      </c>
      <c r="K3" s="7" t="str">
        <f>B6</f>
        <v>Norway</v>
      </c>
      <c r="L3" s="7" t="str">
        <f>B7</f>
        <v>Netherlands</v>
      </c>
      <c r="M3" s="7" t="str">
        <f>B8</f>
        <v>Serbia</v>
      </c>
      <c r="N3" s="7" t="str">
        <f>B9</f>
        <v>Sweden</v>
      </c>
      <c r="O3" s="7" t="str">
        <f>B10</f>
        <v>Finland</v>
      </c>
      <c r="P3" s="7" t="str">
        <f>B11</f>
        <v>Bulgaria</v>
      </c>
      <c r="Q3" s="7" t="str">
        <f>B12</f>
        <v>Ireland</v>
      </c>
      <c r="R3" s="7" t="s">
        <v>2</v>
      </c>
      <c r="S3" s="7" t="s">
        <v>0</v>
      </c>
      <c r="T3" s="7"/>
      <c r="V3" s="7" t="s">
        <v>3</v>
      </c>
      <c r="W3" s="7" t="s">
        <v>4</v>
      </c>
      <c r="X3" s="7" t="s">
        <v>5</v>
      </c>
      <c r="Y3" s="7" t="s">
        <v>6</v>
      </c>
      <c r="Z3" s="7" t="s">
        <v>7</v>
      </c>
      <c r="AA3" s="7" t="s">
        <v>8</v>
      </c>
    </row>
    <row r="4" spans="1:27" x14ac:dyDescent="0.25">
      <c r="B4" s="3" t="s">
        <v>21</v>
      </c>
      <c r="C4" s="3">
        <v>1934</v>
      </c>
      <c r="D4" s="3">
        <v>5009</v>
      </c>
      <c r="G4" s="1">
        <v>0</v>
      </c>
      <c r="H4" s="1">
        <v>0</v>
      </c>
      <c r="I4" s="1">
        <v>0</v>
      </c>
      <c r="R4" s="1">
        <v>0</v>
      </c>
      <c r="V4" s="1">
        <f>C4</f>
        <v>1934</v>
      </c>
      <c r="W4" s="1">
        <f>D4</f>
        <v>5009</v>
      </c>
      <c r="X4" s="1">
        <v>0</v>
      </c>
      <c r="Y4" s="1">
        <f>X4+V4</f>
        <v>1934</v>
      </c>
      <c r="Z4" s="1">
        <v>0</v>
      </c>
      <c r="AA4" s="1">
        <f>Z4+W4</f>
        <v>5009</v>
      </c>
    </row>
    <row r="5" spans="1:27" x14ac:dyDescent="0.25">
      <c r="B5" s="3" t="s">
        <v>9</v>
      </c>
      <c r="C5" s="3">
        <v>4232</v>
      </c>
      <c r="D5" s="3">
        <v>5119</v>
      </c>
      <c r="G5" s="1">
        <v>0</v>
      </c>
      <c r="H5" s="1">
        <v>0</v>
      </c>
      <c r="I5" s="1">
        <f>D4</f>
        <v>5009</v>
      </c>
      <c r="R5" s="1">
        <v>0</v>
      </c>
      <c r="V5" s="1">
        <f t="shared" ref="V5:W12" si="0">C5</f>
        <v>4232</v>
      </c>
      <c r="W5" s="1">
        <f t="shared" si="0"/>
        <v>5119</v>
      </c>
      <c r="X5" s="1">
        <f>Y4</f>
        <v>1934</v>
      </c>
      <c r="Y5" s="1">
        <f>X5+V5</f>
        <v>6166</v>
      </c>
      <c r="Z5" s="1">
        <f>AA4</f>
        <v>5009</v>
      </c>
      <c r="AA5" s="1">
        <f>Z5+W5</f>
        <v>10128</v>
      </c>
    </row>
    <row r="6" spans="1:27" x14ac:dyDescent="0.25">
      <c r="B6" s="3" t="s">
        <v>10</v>
      </c>
      <c r="C6" s="3">
        <v>2224</v>
      </c>
      <c r="D6" s="3">
        <v>1003</v>
      </c>
      <c r="G6" s="1">
        <f>(G5+G7)/2</f>
        <v>967</v>
      </c>
      <c r="H6" s="1">
        <v>0</v>
      </c>
      <c r="I6" s="1">
        <f>D4</f>
        <v>5009</v>
      </c>
      <c r="R6" s="1">
        <v>0</v>
      </c>
      <c r="S6" s="1">
        <v>10</v>
      </c>
      <c r="T6" s="1" t="str">
        <f>B4</f>
        <v>Switzerland</v>
      </c>
      <c r="V6" s="1">
        <f t="shared" si="0"/>
        <v>2224</v>
      </c>
      <c r="W6" s="1">
        <f t="shared" si="0"/>
        <v>1003</v>
      </c>
      <c r="X6" s="1">
        <f t="shared" ref="X6:X13" si="1">Y5</f>
        <v>6166</v>
      </c>
      <c r="Y6" s="1">
        <f t="shared" ref="Y6:Y12" si="2">X6+V6</f>
        <v>8390</v>
      </c>
      <c r="Z6" s="1">
        <f t="shared" ref="Z6:Z13" si="3">AA5</f>
        <v>10128</v>
      </c>
      <c r="AA6" s="1">
        <f t="shared" ref="AA6:AA12" si="4">Z6+W6</f>
        <v>11131</v>
      </c>
    </row>
    <row r="7" spans="1:27" x14ac:dyDescent="0.25">
      <c r="B7" s="3" t="s">
        <v>24</v>
      </c>
      <c r="C7" s="3">
        <v>7496</v>
      </c>
      <c r="D7" s="3">
        <v>2257</v>
      </c>
      <c r="G7" s="1">
        <f>C4</f>
        <v>1934</v>
      </c>
      <c r="H7" s="1">
        <v>0</v>
      </c>
      <c r="I7" s="1">
        <f>D4</f>
        <v>5009</v>
      </c>
      <c r="J7" s="1">
        <v>0</v>
      </c>
      <c r="R7" s="1">
        <v>0</v>
      </c>
      <c r="V7" s="1">
        <f t="shared" si="0"/>
        <v>7496</v>
      </c>
      <c r="W7" s="1">
        <f t="shared" si="0"/>
        <v>2257</v>
      </c>
      <c r="X7" s="1">
        <f t="shared" si="1"/>
        <v>8390</v>
      </c>
      <c r="Y7" s="1">
        <f t="shared" si="2"/>
        <v>15886</v>
      </c>
      <c r="Z7" s="1">
        <f t="shared" si="3"/>
        <v>11131</v>
      </c>
      <c r="AA7" s="1">
        <f t="shared" si="4"/>
        <v>13388</v>
      </c>
    </row>
    <row r="8" spans="1:27" x14ac:dyDescent="0.25">
      <c r="B8" s="3" t="s">
        <v>11</v>
      </c>
      <c r="C8" s="3">
        <v>10554</v>
      </c>
      <c r="D8" s="3">
        <v>317</v>
      </c>
      <c r="G8" s="1">
        <f>G7</f>
        <v>1934</v>
      </c>
      <c r="H8" s="1">
        <f>I5</f>
        <v>5009</v>
      </c>
      <c r="I8" s="1">
        <v>0</v>
      </c>
      <c r="J8" s="1">
        <f>D5</f>
        <v>5119</v>
      </c>
      <c r="R8" s="1">
        <v>0</v>
      </c>
      <c r="V8" s="1">
        <f t="shared" si="0"/>
        <v>10554</v>
      </c>
      <c r="W8" s="1">
        <f t="shared" si="0"/>
        <v>317</v>
      </c>
      <c r="X8" s="1">
        <f t="shared" si="1"/>
        <v>15886</v>
      </c>
      <c r="Y8" s="1">
        <f t="shared" si="2"/>
        <v>26440</v>
      </c>
      <c r="Z8" s="1">
        <f t="shared" si="3"/>
        <v>13388</v>
      </c>
      <c r="AA8" s="1">
        <f t="shared" si="4"/>
        <v>13705</v>
      </c>
    </row>
    <row r="9" spans="1:27" x14ac:dyDescent="0.25">
      <c r="B9" s="3" t="s">
        <v>12</v>
      </c>
      <c r="C9" s="3">
        <v>3074</v>
      </c>
      <c r="D9" s="3">
        <v>1239</v>
      </c>
      <c r="G9" s="1">
        <f>(G8+G10)/2</f>
        <v>4050</v>
      </c>
      <c r="H9" s="1">
        <f>I6</f>
        <v>5009</v>
      </c>
      <c r="J9" s="1">
        <f>D5</f>
        <v>5119</v>
      </c>
      <c r="R9" s="1">
        <v>0</v>
      </c>
      <c r="S9" s="1">
        <v>10</v>
      </c>
      <c r="T9" s="1" t="str">
        <f>B5</f>
        <v>Austria</v>
      </c>
      <c r="V9" s="1">
        <f t="shared" si="0"/>
        <v>3074</v>
      </c>
      <c r="W9" s="1">
        <f t="shared" si="0"/>
        <v>1239</v>
      </c>
      <c r="X9" s="1">
        <f t="shared" si="1"/>
        <v>26440</v>
      </c>
      <c r="Y9" s="1">
        <f t="shared" si="2"/>
        <v>29514</v>
      </c>
      <c r="Z9" s="1">
        <f t="shared" si="3"/>
        <v>13705</v>
      </c>
      <c r="AA9" s="1">
        <f t="shared" si="4"/>
        <v>14944</v>
      </c>
    </row>
    <row r="10" spans="1:27" x14ac:dyDescent="0.25">
      <c r="B10" s="3" t="s">
        <v>13</v>
      </c>
      <c r="C10" s="3">
        <v>2257</v>
      </c>
      <c r="D10" s="3">
        <v>491</v>
      </c>
      <c r="G10" s="1">
        <f>C5+G7</f>
        <v>6166</v>
      </c>
      <c r="H10" s="1">
        <f>I7</f>
        <v>5009</v>
      </c>
      <c r="J10" s="1">
        <f>D5</f>
        <v>5119</v>
      </c>
      <c r="K10" s="1">
        <v>0</v>
      </c>
      <c r="R10" s="1">
        <v>0</v>
      </c>
      <c r="V10" s="1">
        <f t="shared" si="0"/>
        <v>2257</v>
      </c>
      <c r="W10" s="1">
        <f t="shared" si="0"/>
        <v>491</v>
      </c>
      <c r="X10" s="1">
        <f t="shared" si="1"/>
        <v>29514</v>
      </c>
      <c r="Y10" s="1">
        <f t="shared" si="2"/>
        <v>31771</v>
      </c>
      <c r="Z10" s="1">
        <f t="shared" si="3"/>
        <v>14944</v>
      </c>
      <c r="AA10" s="1">
        <f t="shared" si="4"/>
        <v>15435</v>
      </c>
    </row>
    <row r="11" spans="1:27" x14ac:dyDescent="0.25">
      <c r="B11" s="3" t="s">
        <v>25</v>
      </c>
      <c r="C11" s="3">
        <v>7239</v>
      </c>
      <c r="D11" s="3">
        <v>227</v>
      </c>
      <c r="G11" s="1">
        <f>C5+G7</f>
        <v>6166</v>
      </c>
      <c r="H11" s="1">
        <f>H8+J8</f>
        <v>10128</v>
      </c>
      <c r="J11" s="1">
        <v>0</v>
      </c>
      <c r="K11" s="1">
        <f>D6</f>
        <v>1003</v>
      </c>
      <c r="R11" s="1">
        <v>0</v>
      </c>
      <c r="V11" s="1">
        <f t="shared" si="0"/>
        <v>7239</v>
      </c>
      <c r="W11" s="1">
        <f t="shared" si="0"/>
        <v>227</v>
      </c>
      <c r="X11" s="1">
        <f t="shared" si="1"/>
        <v>31771</v>
      </c>
      <c r="Y11" s="1">
        <f t="shared" si="2"/>
        <v>39010</v>
      </c>
      <c r="Z11" s="1">
        <f t="shared" si="3"/>
        <v>15435</v>
      </c>
      <c r="AA11" s="1">
        <f t="shared" si="4"/>
        <v>15662</v>
      </c>
    </row>
    <row r="12" spans="1:27" x14ac:dyDescent="0.25">
      <c r="B12" s="3" t="s">
        <v>14</v>
      </c>
      <c r="C12" s="3">
        <v>3440</v>
      </c>
      <c r="D12" s="3">
        <v>543</v>
      </c>
      <c r="G12" s="1">
        <f>(G11+G13)/2</f>
        <v>7278</v>
      </c>
      <c r="H12" s="1">
        <f>H9+J9</f>
        <v>10128</v>
      </c>
      <c r="K12" s="1">
        <f>D6</f>
        <v>1003</v>
      </c>
      <c r="R12" s="1">
        <v>0</v>
      </c>
      <c r="S12" s="1">
        <v>18</v>
      </c>
      <c r="T12" s="1" t="str">
        <f>B6</f>
        <v>Norway</v>
      </c>
      <c r="V12" s="1">
        <f t="shared" si="0"/>
        <v>3440</v>
      </c>
      <c r="W12" s="1">
        <f t="shared" si="0"/>
        <v>543</v>
      </c>
      <c r="X12" s="1">
        <f t="shared" si="1"/>
        <v>39010</v>
      </c>
      <c r="Y12" s="1">
        <f t="shared" si="2"/>
        <v>42450</v>
      </c>
      <c r="Z12" s="1">
        <f t="shared" si="3"/>
        <v>15662</v>
      </c>
      <c r="AA12" s="1">
        <f t="shared" si="4"/>
        <v>16205</v>
      </c>
    </row>
    <row r="13" spans="1:27" x14ac:dyDescent="0.25">
      <c r="G13" s="1">
        <f>C6+G10</f>
        <v>8390</v>
      </c>
      <c r="H13" s="1">
        <f>H10+J10</f>
        <v>10128</v>
      </c>
      <c r="K13" s="1">
        <f>D6</f>
        <v>1003</v>
      </c>
      <c r="L13" s="1">
        <v>0</v>
      </c>
      <c r="R13" s="1">
        <v>0</v>
      </c>
      <c r="X13" s="1">
        <f t="shared" si="1"/>
        <v>42450</v>
      </c>
      <c r="Z13" s="1">
        <f t="shared" si="3"/>
        <v>16205</v>
      </c>
    </row>
    <row r="14" spans="1:27" x14ac:dyDescent="0.25">
      <c r="B14" s="4" t="s">
        <v>83</v>
      </c>
      <c r="C14" s="12" t="s">
        <v>82</v>
      </c>
      <c r="G14" s="1">
        <f>C6+G11</f>
        <v>8390</v>
      </c>
      <c r="H14" s="1">
        <f>H11+K11</f>
        <v>11131</v>
      </c>
      <c r="K14" s="1">
        <v>0</v>
      </c>
      <c r="L14" s="1">
        <f>D7</f>
        <v>2257</v>
      </c>
      <c r="R14" s="1">
        <v>0</v>
      </c>
    </row>
    <row r="15" spans="1:27" x14ac:dyDescent="0.25">
      <c r="B15" s="4" t="s">
        <v>85</v>
      </c>
      <c r="G15" s="1">
        <f>(G14+G16)/2</f>
        <v>12138</v>
      </c>
      <c r="H15" s="1">
        <f>H12+K12</f>
        <v>11131</v>
      </c>
      <c r="L15" s="1">
        <f>D7</f>
        <v>2257</v>
      </c>
      <c r="R15" s="1">
        <v>0</v>
      </c>
      <c r="S15" s="1">
        <v>28</v>
      </c>
      <c r="T15" s="1" t="str">
        <f>B7</f>
        <v>Netherlands</v>
      </c>
    </row>
    <row r="16" spans="1:27" x14ac:dyDescent="0.25">
      <c r="B16" s="10" t="s">
        <v>86</v>
      </c>
      <c r="G16" s="1">
        <f>C7+G13</f>
        <v>15886</v>
      </c>
      <c r="H16" s="1">
        <f>H13+K13</f>
        <v>11131</v>
      </c>
      <c r="L16" s="1">
        <f>D7</f>
        <v>2257</v>
      </c>
      <c r="M16" s="1">
        <v>0</v>
      </c>
      <c r="R16" s="1">
        <v>0</v>
      </c>
    </row>
    <row r="17" spans="2:20" x14ac:dyDescent="0.25">
      <c r="G17" s="1">
        <f>+C7+G14</f>
        <v>15886</v>
      </c>
      <c r="H17" s="1">
        <f>H14+L14</f>
        <v>13388</v>
      </c>
      <c r="L17" s="1">
        <v>0</v>
      </c>
      <c r="M17" s="1">
        <f>D8</f>
        <v>317</v>
      </c>
      <c r="R17" s="1">
        <v>0</v>
      </c>
    </row>
    <row r="18" spans="2:20" x14ac:dyDescent="0.25">
      <c r="G18" s="1">
        <f>(G17+G19)/2</f>
        <v>21163</v>
      </c>
      <c r="H18" s="1">
        <f>H15+L15</f>
        <v>13388</v>
      </c>
      <c r="M18" s="1">
        <f>D8</f>
        <v>317</v>
      </c>
      <c r="R18" s="1">
        <v>0</v>
      </c>
      <c r="S18" s="1">
        <v>40</v>
      </c>
      <c r="T18" s="1" t="str">
        <f>B8</f>
        <v>Serbia</v>
      </c>
    </row>
    <row r="19" spans="2:20" ht="30" customHeight="1" x14ac:dyDescent="0.25">
      <c r="B19" s="35" t="s">
        <v>90</v>
      </c>
      <c r="C19" s="35"/>
      <c r="D19" s="32" t="s">
        <v>91</v>
      </c>
      <c r="G19" s="1">
        <f>+C8+G16</f>
        <v>26440</v>
      </c>
      <c r="H19" s="1">
        <f>H16+L16</f>
        <v>13388</v>
      </c>
      <c r="M19" s="1">
        <f>D8</f>
        <v>317</v>
      </c>
      <c r="N19" s="1">
        <v>0</v>
      </c>
      <c r="R19" s="1">
        <v>0</v>
      </c>
    </row>
    <row r="20" spans="2:20" ht="30" customHeight="1" x14ac:dyDescent="0.25">
      <c r="B20" s="39" t="s">
        <v>92</v>
      </c>
      <c r="C20" s="39"/>
      <c r="D20" s="9" t="s">
        <v>93</v>
      </c>
      <c r="G20" s="1">
        <f>+C8+G17</f>
        <v>26440</v>
      </c>
      <c r="H20" s="1">
        <f>H17+M17</f>
        <v>13705</v>
      </c>
      <c r="M20" s="1">
        <v>0</v>
      </c>
      <c r="N20" s="1">
        <f>D9</f>
        <v>1239</v>
      </c>
      <c r="R20" s="1">
        <v>0</v>
      </c>
    </row>
    <row r="21" spans="2:20" ht="30" customHeight="1" x14ac:dyDescent="0.25">
      <c r="B21" s="39" t="s">
        <v>94</v>
      </c>
      <c r="C21" s="39"/>
      <c r="D21" s="9" t="s">
        <v>95</v>
      </c>
      <c r="G21" s="1">
        <f>(G20+G22)/2</f>
        <v>27977</v>
      </c>
      <c r="H21" s="1">
        <f>H18+M18</f>
        <v>13705</v>
      </c>
      <c r="N21" s="1">
        <f>D9</f>
        <v>1239</v>
      </c>
      <c r="R21" s="1">
        <v>0</v>
      </c>
      <c r="S21" s="1">
        <v>30</v>
      </c>
      <c r="T21" s="1" t="str">
        <f>B9</f>
        <v>Sweden</v>
      </c>
    </row>
    <row r="22" spans="2:20" ht="30" customHeight="1" x14ac:dyDescent="0.25">
      <c r="B22" s="35" t="s">
        <v>96</v>
      </c>
      <c r="C22" s="35"/>
      <c r="D22" s="33"/>
      <c r="G22" s="1">
        <f>+C9+G19</f>
        <v>29514</v>
      </c>
      <c r="H22" s="1">
        <f>H19+M19</f>
        <v>13705</v>
      </c>
      <c r="N22" s="1">
        <f>D9</f>
        <v>1239</v>
      </c>
      <c r="O22" s="1">
        <v>0</v>
      </c>
      <c r="R22" s="1">
        <v>0</v>
      </c>
    </row>
    <row r="23" spans="2:20" ht="30" customHeight="1" x14ac:dyDescent="0.25">
      <c r="B23" s="35" t="s">
        <v>97</v>
      </c>
      <c r="C23" s="35"/>
      <c r="D23" s="34"/>
      <c r="G23" s="1">
        <f>+C9+G20</f>
        <v>29514</v>
      </c>
      <c r="H23" s="1">
        <f>H20+N20</f>
        <v>14944</v>
      </c>
      <c r="N23" s="1">
        <v>0</v>
      </c>
      <c r="O23" s="1">
        <f>D10</f>
        <v>491</v>
      </c>
      <c r="R23" s="1">
        <v>0</v>
      </c>
    </row>
    <row r="24" spans="2:20" ht="30" customHeight="1" x14ac:dyDescent="0.25">
      <c r="B24" s="35" t="s">
        <v>98</v>
      </c>
      <c r="C24" s="35"/>
      <c r="D24" s="34"/>
      <c r="G24" s="1">
        <f>(G23+G25)/2</f>
        <v>30642.5</v>
      </c>
      <c r="H24" s="1">
        <f>H21+N21</f>
        <v>14944</v>
      </c>
      <c r="O24" s="1">
        <f>D10</f>
        <v>491</v>
      </c>
      <c r="R24" s="1">
        <v>0</v>
      </c>
      <c r="S24" s="1">
        <v>35</v>
      </c>
      <c r="T24" s="1" t="str">
        <f>B10</f>
        <v>Finland</v>
      </c>
    </row>
    <row r="25" spans="2:20" ht="15" customHeight="1" x14ac:dyDescent="0.25">
      <c r="B25" s="40" t="s">
        <v>99</v>
      </c>
      <c r="C25" s="40"/>
      <c r="D25" s="34"/>
      <c r="G25" s="1">
        <f>+C10+G22</f>
        <v>31771</v>
      </c>
      <c r="H25" s="1">
        <f>H22+N22</f>
        <v>14944</v>
      </c>
      <c r="O25" s="1">
        <f>D10</f>
        <v>491</v>
      </c>
      <c r="P25" s="1">
        <v>0</v>
      </c>
      <c r="R25" s="1">
        <v>0</v>
      </c>
    </row>
    <row r="26" spans="2:20" x14ac:dyDescent="0.25">
      <c r="B26" s="35" t="s">
        <v>100</v>
      </c>
      <c r="C26" s="35"/>
      <c r="D26" s="34"/>
      <c r="G26" s="1">
        <f>+C10+G23</f>
        <v>31771</v>
      </c>
      <c r="H26" s="1">
        <f>H23+O23</f>
        <v>15435</v>
      </c>
      <c r="O26" s="1">
        <v>0</v>
      </c>
      <c r="P26" s="1">
        <f>D11</f>
        <v>227</v>
      </c>
      <c r="R26" s="1">
        <v>0</v>
      </c>
    </row>
    <row r="27" spans="2:20" x14ac:dyDescent="0.25">
      <c r="B27" s="35" t="s">
        <v>101</v>
      </c>
      <c r="C27" s="35"/>
      <c r="D27" s="9" t="s">
        <v>102</v>
      </c>
      <c r="G27" s="1">
        <f>(G26+G28)/2</f>
        <v>35390.5</v>
      </c>
      <c r="H27" s="1">
        <f>H24+O24</f>
        <v>15435</v>
      </c>
      <c r="P27" s="1">
        <f>D11</f>
        <v>227</v>
      </c>
      <c r="R27" s="1">
        <v>0</v>
      </c>
      <c r="S27" s="1">
        <v>30</v>
      </c>
      <c r="T27" s="1" t="str">
        <f>B11</f>
        <v>Bulgaria</v>
      </c>
    </row>
    <row r="28" spans="2:20" x14ac:dyDescent="0.25">
      <c r="B28" s="37"/>
      <c r="C28" s="36"/>
      <c r="D28" s="9" t="s">
        <v>103</v>
      </c>
      <c r="G28" s="1">
        <f>+C11+G25</f>
        <v>39010</v>
      </c>
      <c r="H28" s="1">
        <f>H25+O25</f>
        <v>15435</v>
      </c>
      <c r="P28" s="1">
        <f>D11</f>
        <v>227</v>
      </c>
      <c r="Q28" s="1">
        <v>0</v>
      </c>
      <c r="R28" s="1">
        <v>0</v>
      </c>
    </row>
    <row r="29" spans="2:20" x14ac:dyDescent="0.25">
      <c r="B29" s="38"/>
      <c r="C29" s="38"/>
      <c r="G29" s="1">
        <f>+C11+G26</f>
        <v>39010</v>
      </c>
      <c r="H29" s="1">
        <f>H26+P26</f>
        <v>15662</v>
      </c>
      <c r="P29" s="1">
        <v>0</v>
      </c>
      <c r="Q29" s="1">
        <f>D12</f>
        <v>543</v>
      </c>
      <c r="R29" s="1">
        <v>0</v>
      </c>
    </row>
    <row r="30" spans="2:20" x14ac:dyDescent="0.25">
      <c r="C30" s="9"/>
      <c r="G30" s="1">
        <f>(G29+G31)/2</f>
        <v>40730</v>
      </c>
      <c r="H30" s="1">
        <f>H27+P27</f>
        <v>15662</v>
      </c>
      <c r="Q30" s="1">
        <f>D12</f>
        <v>543</v>
      </c>
      <c r="R30" s="1">
        <v>0</v>
      </c>
      <c r="S30" s="1">
        <v>48</v>
      </c>
      <c r="T30" s="1" t="str">
        <f>B12</f>
        <v>Ireland</v>
      </c>
    </row>
    <row r="31" spans="2:20" x14ac:dyDescent="0.25">
      <c r="G31" s="1">
        <f>+C12+G28</f>
        <v>42450</v>
      </c>
      <c r="H31" s="1">
        <f>H28+P28</f>
        <v>15662</v>
      </c>
      <c r="Q31" s="1">
        <f>D12</f>
        <v>543</v>
      </c>
      <c r="R31" s="1">
        <v>0</v>
      </c>
    </row>
    <row r="32" spans="2:20" x14ac:dyDescent="0.25">
      <c r="G32" s="1">
        <f>+C12+G29</f>
        <v>42450</v>
      </c>
      <c r="H32" s="1">
        <f>H31</f>
        <v>15662</v>
      </c>
      <c r="Q32" s="1">
        <v>0</v>
      </c>
      <c r="R32" s="1">
        <v>0</v>
      </c>
    </row>
  </sheetData>
  <mergeCells count="11">
    <mergeCell ref="I2:R2"/>
    <mergeCell ref="B19:C19"/>
    <mergeCell ref="B29:C29"/>
    <mergeCell ref="B20:C20"/>
    <mergeCell ref="B21:C21"/>
    <mergeCell ref="B22:C22"/>
    <mergeCell ref="B23:C23"/>
    <mergeCell ref="B24:C24"/>
    <mergeCell ref="B25:C25"/>
    <mergeCell ref="B26:C26"/>
    <mergeCell ref="B27:C27"/>
  </mergeCells>
  <hyperlinks>
    <hyperlink ref="C14" r:id="rId1" xr:uid="{447BE4E8-50CD-47BD-8327-7CF83E3DA98C}"/>
    <hyperlink ref="B25" r:id="rId2" xr:uid="{2204FB14-7EF7-4BAA-A391-F5F73235E849}"/>
    <hyperlink ref="D27" r:id="rId3" xr:uid="{E471C4A5-D197-4CCB-877B-B82706A6035E}"/>
    <hyperlink ref="D19" r:id="rId4" xr:uid="{14FDC9AA-595E-4CEC-8508-C6855994AB2C}"/>
    <hyperlink ref="D20" r:id="rId5" xr:uid="{F87D2E6D-4829-43C7-AD22-112A54164F40}"/>
    <hyperlink ref="D21" r:id="rId6" xr:uid="{94FD671B-BF66-4CA0-9DDA-1E8FB3993C8A}"/>
    <hyperlink ref="D28" r:id="rId7" xr:uid="{B1A6CCCE-134A-4D4F-9234-91DECB2C1D46}"/>
  </hyperlinks>
  <pageMargins left="0.70866141732283472" right="0.70866141732283472" top="0.74803149606299213" bottom="0.74803149606299213" header="0.31496062992125984" footer="0.31496062992125984"/>
  <pageSetup paperSize="9" scale="57" orientation="landscape" r:id="rId8"/>
  <headerFooter>
    <oddFooter>&amp;L&amp;F&amp;R&amp;A</oddFooter>
  </headerFooter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L58"/>
  <sheetViews>
    <sheetView showGridLines="0" zoomScale="80" zoomScaleNormal="80" workbookViewId="0"/>
  </sheetViews>
  <sheetFormatPr baseColWidth="10" defaultRowHeight="15" x14ac:dyDescent="0.25"/>
  <cols>
    <col min="1" max="1" width="11.42578125" style="11"/>
    <col min="2" max="2" width="21" style="11" customWidth="1"/>
    <col min="3" max="3" width="15.28515625" style="11" customWidth="1"/>
    <col min="4" max="4" width="16.28515625" style="11" customWidth="1"/>
    <col min="5" max="5" width="16" style="11" customWidth="1"/>
    <col min="6" max="6" width="13.28515625" style="11" customWidth="1"/>
    <col min="7" max="16384" width="11.42578125" style="11"/>
  </cols>
  <sheetData>
    <row r="1" spans="1:12" x14ac:dyDescent="0.25">
      <c r="A1" s="11" t="s">
        <v>84</v>
      </c>
      <c r="C1" s="14" t="s">
        <v>82</v>
      </c>
    </row>
    <row r="4" spans="1:12" ht="15.75" thickBot="1" x14ac:dyDescent="0.3"/>
    <row r="5" spans="1:12" s="15" customFormat="1" ht="15.75" thickBot="1" x14ac:dyDescent="0.3">
      <c r="B5" s="27" t="s">
        <v>26</v>
      </c>
      <c r="C5" s="26" t="s">
        <v>71</v>
      </c>
      <c r="D5" s="27" t="s">
        <v>28</v>
      </c>
      <c r="E5" s="27"/>
      <c r="F5" s="27"/>
      <c r="G5" s="27"/>
      <c r="H5" s="27"/>
      <c r="I5" s="27"/>
      <c r="J5" s="27"/>
      <c r="K5" s="27"/>
      <c r="L5" s="27"/>
    </row>
    <row r="6" spans="1:12" s="15" customFormat="1" ht="15.75" thickBot="1" x14ac:dyDescent="0.3">
      <c r="B6" s="27"/>
      <c r="C6" s="26"/>
      <c r="D6" s="24" t="s">
        <v>80</v>
      </c>
      <c r="E6" s="24"/>
      <c r="F6" s="24"/>
      <c r="G6" s="25" t="s">
        <v>81</v>
      </c>
      <c r="H6" s="25"/>
      <c r="I6" s="25"/>
      <c r="J6" s="25"/>
      <c r="K6" s="25"/>
      <c r="L6" s="26" t="s">
        <v>77</v>
      </c>
    </row>
    <row r="7" spans="1:12" s="15" customFormat="1" ht="15.75" thickBot="1" x14ac:dyDescent="0.3">
      <c r="B7" s="27"/>
      <c r="C7" s="26"/>
      <c r="D7" s="24" t="s">
        <v>27</v>
      </c>
      <c r="E7" s="27" t="s">
        <v>29</v>
      </c>
      <c r="F7" s="27"/>
      <c r="G7" s="25" t="s">
        <v>27</v>
      </c>
      <c r="H7" s="27" t="s">
        <v>30</v>
      </c>
      <c r="I7" s="27"/>
      <c r="J7" s="27"/>
      <c r="K7" s="27"/>
      <c r="L7" s="26"/>
    </row>
    <row r="8" spans="1:12" s="15" customFormat="1" ht="15.75" thickBot="1" x14ac:dyDescent="0.3">
      <c r="B8" s="27"/>
      <c r="C8" s="26"/>
      <c r="D8" s="24"/>
      <c r="E8" s="27"/>
      <c r="F8" s="27"/>
      <c r="G8" s="25"/>
      <c r="H8" s="27" t="s">
        <v>78</v>
      </c>
      <c r="I8" s="27"/>
      <c r="J8" s="27" t="s">
        <v>79</v>
      </c>
      <c r="K8" s="27"/>
      <c r="L8" s="26"/>
    </row>
    <row r="9" spans="1:12" s="16" customFormat="1" ht="77.25" thickBot="1" x14ac:dyDescent="0.3">
      <c r="B9" s="27"/>
      <c r="C9" s="26"/>
      <c r="D9" s="24"/>
      <c r="E9" s="17" t="s">
        <v>72</v>
      </c>
      <c r="F9" s="17" t="s">
        <v>73</v>
      </c>
      <c r="G9" s="25"/>
      <c r="H9" s="18" t="s">
        <v>74</v>
      </c>
      <c r="I9" s="18" t="s">
        <v>75</v>
      </c>
      <c r="J9" s="18" t="s">
        <v>76</v>
      </c>
      <c r="K9" s="18" t="s">
        <v>73</v>
      </c>
      <c r="L9" s="26"/>
    </row>
    <row r="10" spans="1:12" ht="15.75" thickBot="1" x14ac:dyDescent="0.3">
      <c r="B10" s="19" t="s">
        <v>31</v>
      </c>
      <c r="C10" s="19">
        <v>5280</v>
      </c>
      <c r="D10" s="21">
        <v>5179</v>
      </c>
      <c r="E10" s="19">
        <v>2085</v>
      </c>
      <c r="F10" s="19">
        <v>3094</v>
      </c>
      <c r="G10" s="22">
        <v>101</v>
      </c>
      <c r="H10" s="19">
        <v>33</v>
      </c>
      <c r="I10" s="19" t="s">
        <v>32</v>
      </c>
      <c r="J10" s="19">
        <v>62</v>
      </c>
      <c r="K10" s="19">
        <v>39</v>
      </c>
      <c r="L10" s="19">
        <v>0</v>
      </c>
    </row>
    <row r="11" spans="1:12" ht="15.75" thickBot="1" x14ac:dyDescent="0.3">
      <c r="B11" s="19" t="s">
        <v>33</v>
      </c>
      <c r="C11" s="19">
        <v>56</v>
      </c>
      <c r="D11" s="21">
        <v>23</v>
      </c>
      <c r="E11" s="19">
        <v>13</v>
      </c>
      <c r="F11" s="19">
        <v>10</v>
      </c>
      <c r="G11" s="22">
        <v>33</v>
      </c>
      <c r="H11" s="19">
        <v>20</v>
      </c>
      <c r="I11" s="19">
        <v>13</v>
      </c>
      <c r="J11" s="19">
        <v>19</v>
      </c>
      <c r="K11" s="19">
        <v>14</v>
      </c>
      <c r="L11" s="19">
        <v>0</v>
      </c>
    </row>
    <row r="12" spans="1:12" ht="15.75" thickBot="1" x14ac:dyDescent="0.3">
      <c r="B12" s="19" t="s">
        <v>34</v>
      </c>
      <c r="C12" s="19">
        <v>2266</v>
      </c>
      <c r="D12" s="21" t="s">
        <v>35</v>
      </c>
      <c r="E12" s="19" t="s">
        <v>35</v>
      </c>
      <c r="F12" s="19" t="s">
        <v>35</v>
      </c>
      <c r="G12" s="22">
        <v>118</v>
      </c>
      <c r="H12" s="19">
        <v>3</v>
      </c>
      <c r="I12" s="19" t="s">
        <v>35</v>
      </c>
      <c r="J12" s="19">
        <v>71</v>
      </c>
      <c r="K12" s="19">
        <v>47</v>
      </c>
      <c r="L12" s="19" t="s">
        <v>35</v>
      </c>
    </row>
    <row r="13" spans="1:12" ht="15.75" thickBot="1" x14ac:dyDescent="0.3">
      <c r="B13" s="19" t="s">
        <v>9</v>
      </c>
      <c r="C13" s="19">
        <v>9351</v>
      </c>
      <c r="D13" s="21">
        <v>4232</v>
      </c>
      <c r="E13" s="19">
        <v>650</v>
      </c>
      <c r="F13" s="19">
        <v>3582</v>
      </c>
      <c r="G13" s="22">
        <v>5119</v>
      </c>
      <c r="H13" s="19">
        <v>1693</v>
      </c>
      <c r="I13" s="19" t="s">
        <v>35</v>
      </c>
      <c r="J13" s="19">
        <v>1458</v>
      </c>
      <c r="K13" s="19">
        <v>3661</v>
      </c>
      <c r="L13" s="19">
        <v>0</v>
      </c>
    </row>
    <row r="14" spans="1:12" ht="15.75" thickBot="1" x14ac:dyDescent="0.3">
      <c r="B14" s="19" t="s">
        <v>36</v>
      </c>
      <c r="C14" s="19">
        <v>21926</v>
      </c>
      <c r="D14" s="21">
        <v>21451</v>
      </c>
      <c r="E14" s="19">
        <v>3548</v>
      </c>
      <c r="F14" s="19">
        <v>17903</v>
      </c>
      <c r="G14" s="22">
        <v>463</v>
      </c>
      <c r="H14" s="19">
        <v>0</v>
      </c>
      <c r="I14" s="19" t="s">
        <v>35</v>
      </c>
      <c r="J14" s="19">
        <v>147</v>
      </c>
      <c r="K14" s="19">
        <v>316</v>
      </c>
      <c r="L14" s="19">
        <v>12</v>
      </c>
    </row>
    <row r="15" spans="1:12" ht="15.75" thickBot="1" x14ac:dyDescent="0.3">
      <c r="B15" s="19" t="s">
        <v>25</v>
      </c>
      <c r="C15" s="19">
        <v>7466</v>
      </c>
      <c r="D15" s="21">
        <v>7239</v>
      </c>
      <c r="E15" s="19">
        <v>749</v>
      </c>
      <c r="F15" s="19">
        <v>6490</v>
      </c>
      <c r="G15" s="22">
        <v>227</v>
      </c>
      <c r="H15" s="19">
        <v>25</v>
      </c>
      <c r="I15" s="19" t="s">
        <v>35</v>
      </c>
      <c r="J15" s="19">
        <v>66</v>
      </c>
      <c r="K15" s="19">
        <v>161</v>
      </c>
      <c r="L15" s="19">
        <v>0</v>
      </c>
    </row>
    <row r="16" spans="1:12" ht="15.75" thickBot="1" x14ac:dyDescent="0.3">
      <c r="B16" s="19" t="s">
        <v>37</v>
      </c>
      <c r="C16" s="19">
        <v>3217</v>
      </c>
      <c r="D16" s="21">
        <v>2828</v>
      </c>
      <c r="E16" s="19">
        <v>730</v>
      </c>
      <c r="F16" s="19">
        <v>2098</v>
      </c>
      <c r="G16" s="22">
        <v>389</v>
      </c>
      <c r="H16" s="19">
        <v>76</v>
      </c>
      <c r="I16" s="19">
        <v>0</v>
      </c>
      <c r="J16" s="19">
        <v>61</v>
      </c>
      <c r="K16" s="19">
        <v>15</v>
      </c>
      <c r="L16" s="19">
        <v>0</v>
      </c>
    </row>
    <row r="17" spans="2:12" ht="15.75" thickBot="1" x14ac:dyDescent="0.3">
      <c r="B17" s="19" t="s">
        <v>38</v>
      </c>
      <c r="C17" s="19">
        <v>723</v>
      </c>
      <c r="D17" s="21">
        <v>365</v>
      </c>
      <c r="E17" s="19">
        <v>102</v>
      </c>
      <c r="F17" s="19">
        <v>263</v>
      </c>
      <c r="G17" s="22">
        <v>315</v>
      </c>
      <c r="H17" s="19">
        <v>141</v>
      </c>
      <c r="I17" s="19" t="s">
        <v>32</v>
      </c>
      <c r="J17" s="19">
        <v>118</v>
      </c>
      <c r="K17" s="19">
        <v>197</v>
      </c>
      <c r="L17" s="19">
        <v>0</v>
      </c>
    </row>
    <row r="18" spans="2:12" ht="15.75" thickBot="1" x14ac:dyDescent="0.3">
      <c r="B18" s="19" t="s">
        <v>39</v>
      </c>
      <c r="C18" s="19">
        <v>21577</v>
      </c>
      <c r="D18" s="21">
        <v>19809</v>
      </c>
      <c r="E18" s="19">
        <v>1276</v>
      </c>
      <c r="F18" s="19">
        <v>18533</v>
      </c>
      <c r="G18" s="22">
        <v>1768</v>
      </c>
      <c r="H18" s="19">
        <v>782</v>
      </c>
      <c r="I18" s="19" t="s">
        <v>35</v>
      </c>
      <c r="J18" s="19">
        <v>540</v>
      </c>
      <c r="K18" s="19">
        <v>1228</v>
      </c>
      <c r="L18" s="19">
        <v>1</v>
      </c>
    </row>
    <row r="19" spans="2:12" ht="15.75" thickBot="1" x14ac:dyDescent="0.3">
      <c r="B19" s="19" t="s">
        <v>40</v>
      </c>
      <c r="C19" s="19">
        <v>4003</v>
      </c>
      <c r="D19" s="21">
        <v>2876</v>
      </c>
      <c r="E19" s="19">
        <v>905</v>
      </c>
      <c r="F19" s="19">
        <v>1971</v>
      </c>
      <c r="G19" s="22">
        <v>1127</v>
      </c>
      <c r="H19" s="19">
        <v>316</v>
      </c>
      <c r="I19" s="19" t="s">
        <v>35</v>
      </c>
      <c r="J19" s="19">
        <v>626</v>
      </c>
      <c r="K19" s="19">
        <v>501</v>
      </c>
      <c r="L19" s="19">
        <v>7</v>
      </c>
    </row>
    <row r="20" spans="2:12" ht="15.75" thickBot="1" x14ac:dyDescent="0.3">
      <c r="B20" s="19" t="s">
        <v>41</v>
      </c>
      <c r="C20" s="19">
        <v>2399</v>
      </c>
      <c r="D20" s="21">
        <v>1556</v>
      </c>
      <c r="E20" s="19">
        <v>219</v>
      </c>
      <c r="F20" s="19">
        <v>1337</v>
      </c>
      <c r="G20" s="22">
        <v>843</v>
      </c>
      <c r="H20" s="19">
        <v>32</v>
      </c>
      <c r="I20" s="19" t="s">
        <v>35</v>
      </c>
      <c r="J20" s="19">
        <v>143</v>
      </c>
      <c r="K20" s="19">
        <v>700</v>
      </c>
      <c r="L20" s="19">
        <v>631</v>
      </c>
    </row>
    <row r="21" spans="2:12" ht="15.75" thickBot="1" x14ac:dyDescent="0.3">
      <c r="B21" s="19" t="s">
        <v>13</v>
      </c>
      <c r="C21" s="19">
        <v>2748</v>
      </c>
      <c r="D21" s="21">
        <v>2257</v>
      </c>
      <c r="E21" s="19">
        <v>409</v>
      </c>
      <c r="F21" s="19">
        <v>1848</v>
      </c>
      <c r="G21" s="22">
        <v>491</v>
      </c>
      <c r="H21" s="19">
        <v>226</v>
      </c>
      <c r="I21" s="19" t="s">
        <v>35</v>
      </c>
      <c r="J21" s="19">
        <v>219</v>
      </c>
      <c r="K21" s="19">
        <v>272</v>
      </c>
      <c r="L21" s="19">
        <v>16</v>
      </c>
    </row>
    <row r="22" spans="2:12" ht="15.75" thickBot="1" x14ac:dyDescent="0.3">
      <c r="B22" s="19" t="s">
        <v>16</v>
      </c>
      <c r="C22" s="19">
        <v>70059</v>
      </c>
      <c r="D22" s="21">
        <v>53908</v>
      </c>
      <c r="E22" s="19">
        <v>14345</v>
      </c>
      <c r="F22" s="19">
        <v>39563</v>
      </c>
      <c r="G22" s="22">
        <v>16151</v>
      </c>
      <c r="H22" s="19">
        <v>3517</v>
      </c>
      <c r="I22" s="19" t="s">
        <v>35</v>
      </c>
      <c r="J22" s="19">
        <v>5998</v>
      </c>
      <c r="K22" s="19">
        <v>10153</v>
      </c>
      <c r="L22" s="19">
        <v>76</v>
      </c>
    </row>
    <row r="23" spans="2:12" ht="15.75" thickBot="1" x14ac:dyDescent="0.3">
      <c r="B23" s="19" t="s">
        <v>15</v>
      </c>
      <c r="C23" s="19">
        <v>63643</v>
      </c>
      <c r="D23" s="21" t="s">
        <v>35</v>
      </c>
      <c r="E23" s="19" t="s">
        <v>35</v>
      </c>
      <c r="F23" s="19">
        <v>34690</v>
      </c>
      <c r="G23" s="22" t="s">
        <v>35</v>
      </c>
      <c r="H23" s="19">
        <v>5439</v>
      </c>
      <c r="I23" s="19" t="s">
        <v>32</v>
      </c>
      <c r="J23" s="19" t="s">
        <v>35</v>
      </c>
      <c r="K23" s="19">
        <v>10825</v>
      </c>
      <c r="L23" s="19">
        <v>306</v>
      </c>
    </row>
    <row r="24" spans="2:12" ht="15.75" thickBot="1" x14ac:dyDescent="0.3">
      <c r="B24" s="19" t="s">
        <v>42</v>
      </c>
      <c r="C24" s="19">
        <v>10613</v>
      </c>
      <c r="D24" s="21">
        <v>4786</v>
      </c>
      <c r="E24" s="19">
        <v>1252</v>
      </c>
      <c r="F24" s="19">
        <v>3469</v>
      </c>
      <c r="G24" s="22">
        <v>5827</v>
      </c>
      <c r="H24" s="19">
        <v>736</v>
      </c>
      <c r="I24" s="19" t="s">
        <v>35</v>
      </c>
      <c r="J24" s="19">
        <v>2050</v>
      </c>
      <c r="K24" s="19">
        <v>3747</v>
      </c>
      <c r="L24" s="19">
        <v>0</v>
      </c>
    </row>
    <row r="25" spans="2:12" ht="15.75" thickBot="1" x14ac:dyDescent="0.3">
      <c r="B25" s="19" t="s">
        <v>43</v>
      </c>
      <c r="C25" s="19">
        <v>16560</v>
      </c>
      <c r="D25" s="21">
        <v>15806</v>
      </c>
      <c r="E25" s="19">
        <v>2396</v>
      </c>
      <c r="F25" s="19">
        <v>13410</v>
      </c>
      <c r="G25" s="22">
        <v>754</v>
      </c>
      <c r="H25" s="19" t="s">
        <v>35</v>
      </c>
      <c r="I25" s="19" t="s">
        <v>35</v>
      </c>
      <c r="J25" s="19">
        <v>339</v>
      </c>
      <c r="K25" s="19">
        <v>415</v>
      </c>
      <c r="L25" s="19">
        <v>0</v>
      </c>
    </row>
    <row r="26" spans="2:12" ht="15.75" thickBot="1" x14ac:dyDescent="0.3">
      <c r="B26" s="19" t="s">
        <v>44</v>
      </c>
      <c r="C26" s="19">
        <v>144</v>
      </c>
      <c r="D26" s="21">
        <v>113</v>
      </c>
      <c r="E26" s="19">
        <v>14</v>
      </c>
      <c r="F26" s="19">
        <v>99</v>
      </c>
      <c r="G26" s="22">
        <v>31</v>
      </c>
      <c r="H26" s="19">
        <v>25</v>
      </c>
      <c r="I26" s="19">
        <v>17</v>
      </c>
      <c r="J26" s="19">
        <v>5</v>
      </c>
      <c r="K26" s="19">
        <v>26</v>
      </c>
      <c r="L26" s="19">
        <v>0</v>
      </c>
    </row>
    <row r="27" spans="2:12" ht="15.75" thickBot="1" x14ac:dyDescent="0.3">
      <c r="B27" s="19" t="s">
        <v>14</v>
      </c>
      <c r="C27" s="19">
        <v>3983</v>
      </c>
      <c r="D27" s="21">
        <v>3440</v>
      </c>
      <c r="E27" s="19">
        <v>613</v>
      </c>
      <c r="F27" s="19">
        <v>2827</v>
      </c>
      <c r="G27" s="22">
        <v>543</v>
      </c>
      <c r="H27" s="19">
        <v>387</v>
      </c>
      <c r="I27" s="19" t="s">
        <v>35</v>
      </c>
      <c r="J27" s="19">
        <v>199</v>
      </c>
      <c r="K27" s="19">
        <v>344</v>
      </c>
      <c r="L27" s="19">
        <v>0</v>
      </c>
    </row>
    <row r="28" spans="2:12" ht="15.75" customHeight="1" thickBot="1" x14ac:dyDescent="0.3">
      <c r="B28" s="19" t="s">
        <v>17</v>
      </c>
      <c r="C28" s="19">
        <v>60125</v>
      </c>
      <c r="D28" s="21">
        <v>39816</v>
      </c>
      <c r="E28" s="19">
        <v>12045</v>
      </c>
      <c r="F28" s="19">
        <v>27500</v>
      </c>
      <c r="G28" s="22">
        <v>20309</v>
      </c>
      <c r="H28" s="19">
        <v>3297</v>
      </c>
      <c r="I28" s="19" t="s">
        <v>35</v>
      </c>
      <c r="J28" s="19">
        <v>7655</v>
      </c>
      <c r="K28" s="19">
        <v>12592</v>
      </c>
      <c r="L28" s="19" t="s">
        <v>32</v>
      </c>
    </row>
    <row r="29" spans="2:12" ht="15.75" customHeight="1" thickBot="1" x14ac:dyDescent="0.3">
      <c r="B29" s="19" t="s">
        <v>45</v>
      </c>
      <c r="C29" s="19">
        <v>3522</v>
      </c>
      <c r="D29" s="21" t="s">
        <v>32</v>
      </c>
      <c r="E29" s="19" t="s">
        <v>32</v>
      </c>
      <c r="F29" s="19" t="s">
        <v>32</v>
      </c>
      <c r="G29" s="22">
        <v>84</v>
      </c>
      <c r="H29" s="19">
        <v>32</v>
      </c>
      <c r="I29" s="19" t="s">
        <v>32</v>
      </c>
      <c r="J29" s="19">
        <v>50</v>
      </c>
      <c r="K29" s="19">
        <v>34</v>
      </c>
      <c r="L29" s="19" t="s">
        <v>46</v>
      </c>
    </row>
    <row r="30" spans="2:12" ht="15.75" customHeight="1" thickBot="1" x14ac:dyDescent="0.3">
      <c r="B30" s="19" t="s">
        <v>18</v>
      </c>
      <c r="C30" s="19">
        <v>12</v>
      </c>
      <c r="D30" s="21">
        <v>3</v>
      </c>
      <c r="E30" s="19">
        <v>2</v>
      </c>
      <c r="F30" s="19">
        <v>1</v>
      </c>
      <c r="G30" s="22">
        <v>9</v>
      </c>
      <c r="H30" s="19">
        <v>4</v>
      </c>
      <c r="I30" s="19">
        <v>1</v>
      </c>
      <c r="J30" s="19">
        <v>7</v>
      </c>
      <c r="K30" s="19">
        <v>2</v>
      </c>
      <c r="L30" s="19">
        <v>0</v>
      </c>
    </row>
    <row r="31" spans="2:12" ht="15.75" customHeight="1" thickBot="1" x14ac:dyDescent="0.3">
      <c r="B31" s="19" t="s">
        <v>47</v>
      </c>
      <c r="C31" s="19">
        <v>6485</v>
      </c>
      <c r="D31" s="21">
        <v>6360</v>
      </c>
      <c r="E31" s="19">
        <v>567</v>
      </c>
      <c r="F31" s="19">
        <v>5793</v>
      </c>
      <c r="G31" s="22">
        <v>125</v>
      </c>
      <c r="H31" s="19">
        <v>42</v>
      </c>
      <c r="I31" s="19">
        <v>16</v>
      </c>
      <c r="J31" s="19">
        <v>39</v>
      </c>
      <c r="K31" s="19">
        <v>86</v>
      </c>
      <c r="L31" s="19">
        <v>0</v>
      </c>
    </row>
    <row r="32" spans="2:12" ht="15.75" customHeight="1" thickBot="1" x14ac:dyDescent="0.3">
      <c r="B32" s="19" t="s">
        <v>48</v>
      </c>
      <c r="C32" s="19">
        <v>664</v>
      </c>
      <c r="D32" s="21">
        <v>170</v>
      </c>
      <c r="E32" s="19">
        <v>48</v>
      </c>
      <c r="F32" s="19">
        <v>122</v>
      </c>
      <c r="G32" s="22">
        <v>494</v>
      </c>
      <c r="H32" s="19">
        <v>264</v>
      </c>
      <c r="I32" s="19">
        <v>219</v>
      </c>
      <c r="J32" s="19">
        <v>275</v>
      </c>
      <c r="K32" s="19">
        <v>218</v>
      </c>
      <c r="L32" s="19">
        <v>1</v>
      </c>
    </row>
    <row r="33" spans="2:12" ht="15.75" customHeight="1" thickBot="1" x14ac:dyDescent="0.3">
      <c r="B33" s="19" t="s">
        <v>49</v>
      </c>
      <c r="C33" s="19">
        <v>6990</v>
      </c>
      <c r="D33" s="21">
        <v>6903</v>
      </c>
      <c r="E33" s="19">
        <v>1250</v>
      </c>
      <c r="F33" s="19">
        <v>5653</v>
      </c>
      <c r="G33" s="22">
        <v>87</v>
      </c>
      <c r="H33" s="19">
        <v>35</v>
      </c>
      <c r="I33" s="19">
        <v>52</v>
      </c>
      <c r="J33" s="19">
        <v>15</v>
      </c>
      <c r="K33" s="19">
        <v>72</v>
      </c>
      <c r="L33" s="19" t="s">
        <v>32</v>
      </c>
    </row>
    <row r="34" spans="2:12" ht="15.75" customHeight="1" thickBot="1" x14ac:dyDescent="0.3">
      <c r="B34" s="19" t="s">
        <v>50</v>
      </c>
      <c r="C34" s="19">
        <v>21</v>
      </c>
      <c r="D34" s="21">
        <v>1</v>
      </c>
      <c r="E34" s="19">
        <v>1</v>
      </c>
      <c r="F34" s="19">
        <v>0</v>
      </c>
      <c r="G34" s="22">
        <v>20</v>
      </c>
      <c r="H34" s="19">
        <v>14</v>
      </c>
      <c r="I34" s="19">
        <v>1</v>
      </c>
      <c r="J34" s="19">
        <v>15</v>
      </c>
      <c r="K34" s="19">
        <v>5</v>
      </c>
      <c r="L34" s="19">
        <v>0</v>
      </c>
    </row>
    <row r="35" spans="2:12" ht="15.75" customHeight="1" thickBot="1" x14ac:dyDescent="0.3">
      <c r="B35" s="19" t="s">
        <v>51</v>
      </c>
      <c r="C35" s="19">
        <v>1154</v>
      </c>
      <c r="D35" s="21">
        <v>978</v>
      </c>
      <c r="E35" s="19" t="s">
        <v>52</v>
      </c>
      <c r="F35" s="19" t="s">
        <v>53</v>
      </c>
      <c r="G35" s="22">
        <v>176</v>
      </c>
      <c r="H35" s="19">
        <v>9</v>
      </c>
      <c r="I35" s="19">
        <v>0</v>
      </c>
      <c r="J35" s="19">
        <v>97</v>
      </c>
      <c r="K35" s="19">
        <v>79</v>
      </c>
      <c r="L35" s="19">
        <v>0</v>
      </c>
    </row>
    <row r="36" spans="2:12" ht="15.75" customHeight="1" thickBot="1" x14ac:dyDescent="0.3">
      <c r="B36" s="19" t="s">
        <v>24</v>
      </c>
      <c r="C36" s="19">
        <v>9753</v>
      </c>
      <c r="D36" s="21">
        <v>7496</v>
      </c>
      <c r="E36" s="19">
        <v>3077</v>
      </c>
      <c r="F36" s="19">
        <v>4160</v>
      </c>
      <c r="G36" s="22">
        <v>2257</v>
      </c>
      <c r="H36" s="19">
        <v>833</v>
      </c>
      <c r="I36" s="19" t="s">
        <v>35</v>
      </c>
      <c r="J36" s="19">
        <v>1074</v>
      </c>
      <c r="K36" s="19">
        <v>1136</v>
      </c>
      <c r="L36" s="19">
        <v>47</v>
      </c>
    </row>
    <row r="37" spans="2:12" ht="15.75" customHeight="1" thickBot="1" x14ac:dyDescent="0.3">
      <c r="B37" s="19" t="s">
        <v>54</v>
      </c>
      <c r="C37" s="19">
        <v>2144</v>
      </c>
      <c r="D37" s="21">
        <v>2000</v>
      </c>
      <c r="E37" s="19">
        <v>246</v>
      </c>
      <c r="F37" s="19">
        <v>1754</v>
      </c>
      <c r="G37" s="22">
        <v>144</v>
      </c>
      <c r="H37" s="19">
        <v>9</v>
      </c>
      <c r="I37" s="19">
        <v>0</v>
      </c>
      <c r="J37" s="19">
        <v>48</v>
      </c>
      <c r="K37" s="19">
        <v>96</v>
      </c>
      <c r="L37" s="19">
        <v>0</v>
      </c>
    </row>
    <row r="38" spans="2:12" ht="15.75" customHeight="1" thickBot="1" x14ac:dyDescent="0.3">
      <c r="B38" s="19" t="s">
        <v>10</v>
      </c>
      <c r="C38" s="19">
        <v>3227</v>
      </c>
      <c r="D38" s="21">
        <v>2224</v>
      </c>
      <c r="E38" s="19">
        <v>435</v>
      </c>
      <c r="F38" s="19">
        <v>1789</v>
      </c>
      <c r="G38" s="22">
        <v>1003</v>
      </c>
      <c r="H38" s="19">
        <v>387</v>
      </c>
      <c r="I38" s="19" t="s">
        <v>35</v>
      </c>
      <c r="J38" s="19">
        <v>401</v>
      </c>
      <c r="K38" s="19">
        <v>602</v>
      </c>
      <c r="L38" s="19">
        <v>6</v>
      </c>
    </row>
    <row r="39" spans="2:12" ht="15.75" customHeight="1" thickBot="1" x14ac:dyDescent="0.3">
      <c r="B39" s="19" t="s">
        <v>55</v>
      </c>
      <c r="C39" s="19">
        <v>72204</v>
      </c>
      <c r="D39" s="21">
        <v>71167</v>
      </c>
      <c r="E39" s="19">
        <v>6848</v>
      </c>
      <c r="F39" s="19">
        <v>64319</v>
      </c>
      <c r="G39" s="22">
        <v>1037</v>
      </c>
      <c r="H39" s="19">
        <v>241</v>
      </c>
      <c r="I39" s="19" t="s">
        <v>32</v>
      </c>
      <c r="J39" s="19">
        <v>512</v>
      </c>
      <c r="K39" s="19">
        <v>525</v>
      </c>
      <c r="L39" s="19">
        <v>8</v>
      </c>
    </row>
    <row r="40" spans="2:12" ht="15.75" customHeight="1" thickBot="1" x14ac:dyDescent="0.3">
      <c r="B40" s="19" t="s">
        <v>56</v>
      </c>
      <c r="C40" s="19">
        <v>12867</v>
      </c>
      <c r="D40" s="21">
        <v>10914</v>
      </c>
      <c r="E40" s="19">
        <v>1598</v>
      </c>
      <c r="F40" s="19">
        <v>9316</v>
      </c>
      <c r="G40" s="22">
        <v>1953</v>
      </c>
      <c r="H40" s="19">
        <v>352</v>
      </c>
      <c r="I40" s="19" t="s">
        <v>32</v>
      </c>
      <c r="J40" s="19">
        <v>598</v>
      </c>
      <c r="K40" s="19">
        <v>1355</v>
      </c>
      <c r="L40" s="19">
        <v>0</v>
      </c>
    </row>
    <row r="41" spans="2:12" ht="15.75" customHeight="1" thickBot="1" x14ac:dyDescent="0.3">
      <c r="B41" s="19" t="s">
        <v>57</v>
      </c>
      <c r="C41" s="19">
        <v>20689</v>
      </c>
      <c r="D41" s="21">
        <v>20440</v>
      </c>
      <c r="E41" s="19">
        <v>1901</v>
      </c>
      <c r="F41" s="19">
        <v>18539</v>
      </c>
      <c r="G41" s="22">
        <v>248</v>
      </c>
      <c r="H41" s="19">
        <v>67</v>
      </c>
      <c r="I41" s="19" t="s">
        <v>32</v>
      </c>
      <c r="J41" s="19">
        <v>25</v>
      </c>
      <c r="K41" s="19">
        <v>223</v>
      </c>
      <c r="L41" s="19">
        <v>1</v>
      </c>
    </row>
    <row r="42" spans="2:12" ht="15.75" customHeight="1" thickBot="1" x14ac:dyDescent="0.3">
      <c r="B42" s="19" t="s">
        <v>58</v>
      </c>
      <c r="C42" s="19">
        <v>563166</v>
      </c>
      <c r="D42" s="21">
        <v>528350</v>
      </c>
      <c r="E42" s="19">
        <v>94056</v>
      </c>
      <c r="F42" s="19">
        <v>434294</v>
      </c>
      <c r="G42" s="22">
        <v>34816</v>
      </c>
      <c r="H42" s="19" t="s">
        <v>35</v>
      </c>
      <c r="I42" s="19" t="s">
        <v>35</v>
      </c>
      <c r="J42" s="19">
        <v>6878</v>
      </c>
      <c r="K42" s="19">
        <v>27938</v>
      </c>
      <c r="L42" s="19">
        <v>0</v>
      </c>
    </row>
    <row r="43" spans="2:12" ht="15.75" customHeight="1" thickBot="1" x14ac:dyDescent="0.3">
      <c r="B43" s="19" t="s">
        <v>59</v>
      </c>
      <c r="C43" s="19">
        <v>1</v>
      </c>
      <c r="D43" s="21">
        <v>1</v>
      </c>
      <c r="E43" s="19">
        <v>0</v>
      </c>
      <c r="F43" s="19">
        <v>1</v>
      </c>
      <c r="G43" s="22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</row>
    <row r="44" spans="2:12" ht="15.75" customHeight="1" thickBot="1" x14ac:dyDescent="0.3">
      <c r="B44" s="19" t="s">
        <v>60</v>
      </c>
      <c r="C44" s="19">
        <v>10871</v>
      </c>
      <c r="D44" s="21">
        <v>10554</v>
      </c>
      <c r="E44" s="19">
        <v>1568</v>
      </c>
      <c r="F44" s="19">
        <v>8986</v>
      </c>
      <c r="G44" s="22">
        <v>317</v>
      </c>
      <c r="H44" s="19">
        <v>77</v>
      </c>
      <c r="I44" s="19" t="s">
        <v>35</v>
      </c>
      <c r="J44" s="19">
        <v>123</v>
      </c>
      <c r="K44" s="19">
        <v>194</v>
      </c>
      <c r="L44" s="19">
        <v>0</v>
      </c>
    </row>
    <row r="45" spans="2:12" ht="15.75" customHeight="1" thickBot="1" x14ac:dyDescent="0.3">
      <c r="B45" s="19" t="s">
        <v>61</v>
      </c>
      <c r="C45" s="19">
        <v>10294</v>
      </c>
      <c r="D45" s="21">
        <v>10085</v>
      </c>
      <c r="E45" s="19">
        <v>1500</v>
      </c>
      <c r="F45" s="19">
        <v>8585</v>
      </c>
      <c r="G45" s="22">
        <v>209</v>
      </c>
      <c r="H45" s="19">
        <v>113</v>
      </c>
      <c r="I45" s="19" t="s">
        <v>35</v>
      </c>
      <c r="J45" s="19">
        <v>79</v>
      </c>
      <c r="K45" s="19">
        <v>130</v>
      </c>
      <c r="L45" s="19">
        <v>0</v>
      </c>
    </row>
    <row r="46" spans="2:12" ht="15.75" customHeight="1" thickBot="1" x14ac:dyDescent="0.3">
      <c r="B46" s="19" t="s">
        <v>62</v>
      </c>
      <c r="C46" s="19">
        <v>1396</v>
      </c>
      <c r="D46" s="21">
        <v>1115</v>
      </c>
      <c r="E46" s="19">
        <v>185</v>
      </c>
      <c r="F46" s="19">
        <v>930</v>
      </c>
      <c r="G46" s="22">
        <v>281</v>
      </c>
      <c r="H46" s="19">
        <v>68</v>
      </c>
      <c r="I46" s="19" t="s">
        <v>35</v>
      </c>
      <c r="J46" s="19">
        <v>147</v>
      </c>
      <c r="K46" s="19">
        <v>134</v>
      </c>
      <c r="L46" s="19">
        <v>0</v>
      </c>
    </row>
    <row r="47" spans="2:12" ht="15.75" customHeight="1" thickBot="1" x14ac:dyDescent="0.3">
      <c r="B47" s="20" t="s">
        <v>63</v>
      </c>
      <c r="C47" s="19">
        <v>58983</v>
      </c>
      <c r="D47" s="21">
        <v>42421</v>
      </c>
      <c r="E47" s="19">
        <v>4699</v>
      </c>
      <c r="F47" s="19">
        <v>37722</v>
      </c>
      <c r="G47" s="22">
        <v>16562</v>
      </c>
      <c r="H47" s="19">
        <v>3856</v>
      </c>
      <c r="I47" s="19" t="s">
        <v>32</v>
      </c>
      <c r="J47" s="19">
        <v>4565</v>
      </c>
      <c r="K47" s="19">
        <v>11997</v>
      </c>
      <c r="L47" s="19">
        <v>0</v>
      </c>
    </row>
    <row r="48" spans="2:12" ht="15.75" customHeight="1" thickBot="1" x14ac:dyDescent="0.3">
      <c r="B48" s="19" t="s">
        <v>64</v>
      </c>
      <c r="C48" s="19">
        <v>50612</v>
      </c>
      <c r="D48" s="21">
        <v>37806</v>
      </c>
      <c r="E48" s="19">
        <v>4208</v>
      </c>
      <c r="F48" s="19">
        <v>33598</v>
      </c>
      <c r="G48" s="22">
        <v>12806</v>
      </c>
      <c r="H48" s="19">
        <v>3289</v>
      </c>
      <c r="I48" s="19" t="s">
        <v>32</v>
      </c>
      <c r="J48" s="19">
        <v>3606</v>
      </c>
      <c r="K48" s="19">
        <v>9200</v>
      </c>
      <c r="L48" s="19">
        <v>0</v>
      </c>
    </row>
    <row r="49" spans="2:12" ht="15.75" customHeight="1" thickBot="1" x14ac:dyDescent="0.3">
      <c r="B49" s="19" t="s">
        <v>65</v>
      </c>
      <c r="C49" s="19">
        <v>8371</v>
      </c>
      <c r="D49" s="21">
        <v>4615</v>
      </c>
      <c r="E49" s="19">
        <v>491</v>
      </c>
      <c r="F49" s="19">
        <v>4124</v>
      </c>
      <c r="G49" s="22">
        <v>3756</v>
      </c>
      <c r="H49" s="19">
        <v>567</v>
      </c>
      <c r="I49" s="19" t="s">
        <v>32</v>
      </c>
      <c r="J49" s="19">
        <v>959</v>
      </c>
      <c r="K49" s="19">
        <v>2797</v>
      </c>
      <c r="L49" s="19">
        <v>0</v>
      </c>
    </row>
    <row r="50" spans="2:12" ht="15.75" customHeight="1" thickBot="1" x14ac:dyDescent="0.3">
      <c r="B50" s="19" t="s">
        <v>12</v>
      </c>
      <c r="C50" s="19">
        <v>6109</v>
      </c>
      <c r="D50" s="21" t="s">
        <v>35</v>
      </c>
      <c r="E50" s="19" t="s">
        <v>35</v>
      </c>
      <c r="F50" s="19">
        <v>3074</v>
      </c>
      <c r="G50" s="22" t="s">
        <v>35</v>
      </c>
      <c r="H50" s="19">
        <v>370</v>
      </c>
      <c r="I50" s="19" t="s">
        <v>35</v>
      </c>
      <c r="J50" s="19" t="s">
        <v>35</v>
      </c>
      <c r="K50" s="19">
        <v>1239</v>
      </c>
      <c r="L50" s="19">
        <v>80</v>
      </c>
    </row>
    <row r="51" spans="2:12" ht="15.75" customHeight="1" thickBot="1" x14ac:dyDescent="0.3">
      <c r="B51" s="19" t="s">
        <v>21</v>
      </c>
      <c r="C51" s="19">
        <v>6943</v>
      </c>
      <c r="D51" s="21">
        <v>1934</v>
      </c>
      <c r="E51" s="19">
        <v>661</v>
      </c>
      <c r="F51" s="19">
        <v>1273</v>
      </c>
      <c r="G51" s="22">
        <v>5009</v>
      </c>
      <c r="H51" s="19" t="s">
        <v>35</v>
      </c>
      <c r="I51" s="19" t="s">
        <v>35</v>
      </c>
      <c r="J51" s="19">
        <v>2649</v>
      </c>
      <c r="K51" s="19">
        <v>2360</v>
      </c>
      <c r="L51" s="19" t="s">
        <v>32</v>
      </c>
    </row>
    <row r="52" spans="2:12" ht="15.75" customHeight="1" thickBot="1" x14ac:dyDescent="0.3">
      <c r="B52" s="19" t="s">
        <v>66</v>
      </c>
      <c r="C52" s="19">
        <v>269806</v>
      </c>
      <c r="D52" s="21">
        <v>261011</v>
      </c>
      <c r="E52" s="19">
        <v>50627</v>
      </c>
      <c r="F52" s="19">
        <v>210384</v>
      </c>
      <c r="G52" s="22">
        <v>8795</v>
      </c>
      <c r="H52" s="19">
        <v>312</v>
      </c>
      <c r="I52" s="19" t="s">
        <v>35</v>
      </c>
      <c r="J52" s="19" t="s">
        <v>35</v>
      </c>
      <c r="K52" s="19" t="s">
        <v>35</v>
      </c>
      <c r="L52" s="19">
        <v>46</v>
      </c>
    </row>
    <row r="53" spans="2:12" ht="15.75" customHeight="1" thickBot="1" x14ac:dyDescent="0.3">
      <c r="B53" s="19" t="s">
        <v>67</v>
      </c>
      <c r="C53" s="19"/>
      <c r="D53" s="21"/>
      <c r="E53" s="19"/>
      <c r="F53" s="19"/>
      <c r="G53" s="22"/>
      <c r="H53" s="19"/>
      <c r="I53" s="19"/>
      <c r="J53" s="19"/>
      <c r="K53" s="19"/>
      <c r="L53" s="19"/>
    </row>
    <row r="54" spans="2:12" ht="15.75" customHeight="1" thickBot="1" x14ac:dyDescent="0.3">
      <c r="B54" s="19" t="s">
        <v>68</v>
      </c>
      <c r="C54" s="19">
        <v>82236</v>
      </c>
      <c r="D54" s="21">
        <v>72943</v>
      </c>
      <c r="E54" s="19">
        <v>7104</v>
      </c>
      <c r="F54" s="19">
        <v>65783</v>
      </c>
      <c r="G54" s="22">
        <v>9090</v>
      </c>
      <c r="H54" s="19">
        <v>3943</v>
      </c>
      <c r="I54" s="19" t="s">
        <v>35</v>
      </c>
      <c r="J54" s="19">
        <v>1587</v>
      </c>
      <c r="K54" s="19">
        <v>6745</v>
      </c>
      <c r="L54" s="19">
        <v>203</v>
      </c>
    </row>
    <row r="55" spans="2:12" ht="15.75" customHeight="1" thickBot="1" x14ac:dyDescent="0.3">
      <c r="B55" s="19" t="s">
        <v>69</v>
      </c>
      <c r="C55" s="19">
        <v>1504</v>
      </c>
      <c r="D55" s="21">
        <v>1364</v>
      </c>
      <c r="E55" s="19">
        <v>454</v>
      </c>
      <c r="F55" s="19">
        <v>910</v>
      </c>
      <c r="G55" s="22">
        <v>140</v>
      </c>
      <c r="H55" s="19">
        <v>99</v>
      </c>
      <c r="I55" s="19" t="s">
        <v>35</v>
      </c>
      <c r="J55" s="19">
        <v>79</v>
      </c>
      <c r="K55" s="19">
        <v>61</v>
      </c>
      <c r="L55" s="19">
        <v>0</v>
      </c>
    </row>
    <row r="56" spans="2:12" ht="15.75" customHeight="1" thickBot="1" x14ac:dyDescent="0.3">
      <c r="B56" s="19" t="s">
        <v>70</v>
      </c>
      <c r="C56" s="19">
        <v>7984</v>
      </c>
      <c r="D56" s="21" t="s">
        <v>35</v>
      </c>
      <c r="E56" s="19" t="s">
        <v>35</v>
      </c>
      <c r="F56" s="19" t="s">
        <v>35</v>
      </c>
      <c r="G56" s="22" t="s">
        <v>35</v>
      </c>
      <c r="H56" s="19" t="s">
        <v>35</v>
      </c>
      <c r="I56" s="19" t="s">
        <v>35</v>
      </c>
      <c r="J56" s="19" t="s">
        <v>35</v>
      </c>
      <c r="K56" s="19" t="s">
        <v>35</v>
      </c>
      <c r="L56" s="19" t="s">
        <v>35</v>
      </c>
    </row>
    <row r="57" spans="2:12" ht="15.75" customHeight="1" x14ac:dyDescent="0.25">
      <c r="B57" s="15"/>
    </row>
    <row r="58" spans="2:12" ht="15.75" customHeight="1" x14ac:dyDescent="0.25"/>
  </sheetData>
  <mergeCells count="12">
    <mergeCell ref="B5:B9"/>
    <mergeCell ref="H8:I8"/>
    <mergeCell ref="J8:K8"/>
    <mergeCell ref="H7:K7"/>
    <mergeCell ref="G7:G9"/>
    <mergeCell ref="E7:F8"/>
    <mergeCell ref="D7:D9"/>
    <mergeCell ref="D6:F6"/>
    <mergeCell ref="G6:K6"/>
    <mergeCell ref="L6:L9"/>
    <mergeCell ref="D5:L5"/>
    <mergeCell ref="C5:C9"/>
  </mergeCells>
  <hyperlinks>
    <hyperlink ref="C1" r:id="rId1" xr:uid="{0609022C-A66B-45C6-9C8D-1A505374235A}"/>
  </hyperlinks>
  <pageMargins left="0.70866141732283472" right="0.70866141732283472" top="0.74803149606299213" bottom="0.74803149606299213" header="0.31496062992125984" footer="0.31496062992125984"/>
  <pageSetup paperSize="9" scale="53" orientation="landscape" r:id="rId2"/>
  <headerFooter>
    <oddFooter>&amp;L&amp;F&amp;R&amp;A</oddFooter>
  </headerFooter>
  <customProperties>
    <customPr name="DVSECTION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IV8"/>
  <sheetViews>
    <sheetView workbookViewId="0">
      <selection activeCell="HU8" sqref="HU8"/>
    </sheetView>
  </sheetViews>
  <sheetFormatPr baseColWidth="10" defaultRowHeight="15" x14ac:dyDescent="0.25"/>
  <sheetData>
    <row r="1" spans="1:256" x14ac:dyDescent="0.25">
      <c r="A1">
        <f>IF(Percentage!2:2,"AAAAAFbL8wA=",0)</f>
        <v>0</v>
      </c>
      <c r="B1" t="e">
        <f>AND(Percentage!B2,"AAAAAFbL8wE=")</f>
        <v>#VALUE!</v>
      </c>
      <c r="C1" t="e">
        <f>AND(Percentage!C2,"AAAAAFbL8wI=")</f>
        <v>#VALUE!</v>
      </c>
      <c r="D1" t="e">
        <f>AND(Percentage!D2,"AAAAAFbL8wM=")</f>
        <v>#VALUE!</v>
      </c>
      <c r="E1" t="e">
        <f>AND(Percentage!E2,"AAAAAFbL8wQ=")</f>
        <v>#VALUE!</v>
      </c>
      <c r="F1" t="e">
        <f>AND(Percentage!F2,"AAAAAFbL8wU=")</f>
        <v>#VALUE!</v>
      </c>
      <c r="G1" t="e">
        <f>AND(Percentage!G2,"AAAAAFbL8wY=")</f>
        <v>#VALUE!</v>
      </c>
      <c r="H1" t="e">
        <f>AND(Percentage!H2,"AAAAAFbL8wc=")</f>
        <v>#VALUE!</v>
      </c>
      <c r="I1" t="e">
        <f>AND(Percentage!I2,"AAAAAFbL8wg=")</f>
        <v>#VALUE!</v>
      </c>
      <c r="J1" t="e">
        <f>AND(Percentage!J2,"AAAAAFbL8wk=")</f>
        <v>#VALUE!</v>
      </c>
      <c r="K1" t="e">
        <f>AND(Percentage!K2,"AAAAAFbL8wo=")</f>
        <v>#VALUE!</v>
      </c>
      <c r="L1" t="e">
        <f>AND(Percentage!L2,"AAAAAFbL8ws=")</f>
        <v>#VALUE!</v>
      </c>
      <c r="M1" t="e">
        <f>AND(Percentage!M2,"AAAAAFbL8ww=")</f>
        <v>#VALUE!</v>
      </c>
      <c r="N1" t="e">
        <f>AND(Percentage!N2,"AAAAAFbL8w0=")</f>
        <v>#VALUE!</v>
      </c>
      <c r="O1" t="e">
        <f>AND(Percentage!O2,"AAAAAFbL8w4=")</f>
        <v>#VALUE!</v>
      </c>
      <c r="P1" t="e">
        <f>AND(Percentage!P2,"AAAAAFbL8w8=")</f>
        <v>#VALUE!</v>
      </c>
      <c r="Q1" t="e">
        <f>AND(Percentage!Q2,"AAAAAFbL8xA=")</f>
        <v>#VALUE!</v>
      </c>
      <c r="R1" t="e">
        <f>AND(Percentage!R2,"AAAAAFbL8xE=")</f>
        <v>#VALUE!</v>
      </c>
      <c r="S1" t="e">
        <f>AND(Percentage!S2,"AAAAAFbL8xI=")</f>
        <v>#VALUE!</v>
      </c>
      <c r="T1" t="e">
        <f>AND(Percentage!T2,"AAAAAFbL8xM=")</f>
        <v>#VALUE!</v>
      </c>
      <c r="U1" t="e">
        <f>AND(Percentage!U2,"AAAAAFbL8xQ=")</f>
        <v>#VALUE!</v>
      </c>
      <c r="V1" t="e">
        <f>AND(Percentage!V2,"AAAAAFbL8xU=")</f>
        <v>#VALUE!</v>
      </c>
      <c r="W1" t="e">
        <f>AND(Percentage!W2,"AAAAAFbL8xY=")</f>
        <v>#VALUE!</v>
      </c>
      <c r="X1" t="e">
        <f>AND(Percentage!X2,"AAAAAFbL8xc=")</f>
        <v>#VALUE!</v>
      </c>
      <c r="Y1" t="e">
        <f>AND(Percentage!Y2,"AAAAAFbL8xg=")</f>
        <v>#VALUE!</v>
      </c>
      <c r="Z1" t="e">
        <f>AND(Percentage!Z2,"AAAAAFbL8xk=")</f>
        <v>#VALUE!</v>
      </c>
      <c r="AA1" t="e">
        <f>AND(Percentage!AA2,"AAAAAFbL8xo=")</f>
        <v>#VALUE!</v>
      </c>
      <c r="AB1">
        <f>IF(Percentage!3:3,"AAAAAFbL8xs=",0)</f>
        <v>0</v>
      </c>
      <c r="AC1" t="e">
        <f>AND(Percentage!B3,"AAAAAFbL8xw=")</f>
        <v>#VALUE!</v>
      </c>
      <c r="AD1" t="e">
        <f>AND(Percentage!C3,"AAAAAFbL8x0=")</f>
        <v>#VALUE!</v>
      </c>
      <c r="AE1" t="e">
        <f>AND(Percentage!D3,"AAAAAFbL8x4=")</f>
        <v>#VALUE!</v>
      </c>
      <c r="AF1" t="e">
        <f>AND(Percentage!E3,"AAAAAFbL8x8=")</f>
        <v>#VALUE!</v>
      </c>
      <c r="AG1" t="e">
        <f>AND(Percentage!F3,"AAAAAFbL8yA=")</f>
        <v>#VALUE!</v>
      </c>
      <c r="AH1" t="e">
        <f>AND(Percentage!G3,"AAAAAFbL8yE=")</f>
        <v>#VALUE!</v>
      </c>
      <c r="AI1" t="e">
        <f>AND(Percentage!H3,"AAAAAFbL8yI=")</f>
        <v>#VALUE!</v>
      </c>
      <c r="AJ1" t="e">
        <f>AND(Percentage!I3,"AAAAAFbL8yM=")</f>
        <v>#VALUE!</v>
      </c>
      <c r="AK1" t="e">
        <f>AND(Percentage!J3,"AAAAAFbL8yQ=")</f>
        <v>#VALUE!</v>
      </c>
      <c r="AL1" t="e">
        <f>AND(Percentage!K3,"AAAAAFbL8yU=")</f>
        <v>#VALUE!</v>
      </c>
      <c r="AM1" t="e">
        <f>AND(Percentage!L3,"AAAAAFbL8yY=")</f>
        <v>#VALUE!</v>
      </c>
      <c r="AN1" t="e">
        <f>AND(Percentage!M3,"AAAAAFbL8yc=")</f>
        <v>#VALUE!</v>
      </c>
      <c r="AO1" t="e">
        <f>AND(Percentage!N3,"AAAAAFbL8yg=")</f>
        <v>#VALUE!</v>
      </c>
      <c r="AP1" t="e">
        <f>AND(Percentage!O3,"AAAAAFbL8yk=")</f>
        <v>#VALUE!</v>
      </c>
      <c r="AQ1" t="e">
        <f>AND(Percentage!P3,"AAAAAFbL8yo=")</f>
        <v>#VALUE!</v>
      </c>
      <c r="AR1" t="e">
        <f>AND(Percentage!Q3,"AAAAAFbL8ys=")</f>
        <v>#VALUE!</v>
      </c>
      <c r="AS1" t="e">
        <f>AND(Percentage!R3,"AAAAAFbL8yw=")</f>
        <v>#VALUE!</v>
      </c>
      <c r="AT1" t="e">
        <f>AND(Percentage!S3,"AAAAAFbL8y0=")</f>
        <v>#VALUE!</v>
      </c>
      <c r="AU1" t="e">
        <f>AND(Percentage!T3,"AAAAAFbL8y4=")</f>
        <v>#VALUE!</v>
      </c>
      <c r="AV1" t="e">
        <f>AND(Percentage!U3,"AAAAAFbL8y8=")</f>
        <v>#VALUE!</v>
      </c>
      <c r="AW1" t="e">
        <f>AND(Percentage!V3,"AAAAAFbL8zA=")</f>
        <v>#VALUE!</v>
      </c>
      <c r="AX1" t="e">
        <f>AND(Percentage!W3,"AAAAAFbL8zE=")</f>
        <v>#VALUE!</v>
      </c>
      <c r="AY1" t="e">
        <f>AND(Percentage!X3,"AAAAAFbL8zI=")</f>
        <v>#VALUE!</v>
      </c>
      <c r="AZ1" t="e">
        <f>AND(Percentage!Y3,"AAAAAFbL8zM=")</f>
        <v>#VALUE!</v>
      </c>
      <c r="BA1" t="e">
        <f>AND(Percentage!Z3,"AAAAAFbL8zQ=")</f>
        <v>#VALUE!</v>
      </c>
      <c r="BB1" t="e">
        <f>AND(Percentage!AA3,"AAAAAFbL8zU=")</f>
        <v>#VALUE!</v>
      </c>
      <c r="BC1">
        <f>IF(Percentage!4:4,"AAAAAFbL8zY=",0)</f>
        <v>0</v>
      </c>
      <c r="BD1" t="e">
        <f>AND(Percentage!B4,"AAAAAFbL8zc=")</f>
        <v>#VALUE!</v>
      </c>
      <c r="BE1" t="b">
        <f>AND(Percentage!C4,"AAAAAFbL8zg=")</f>
        <v>1</v>
      </c>
      <c r="BF1" t="b">
        <f>AND(Percentage!D4,"AAAAAFbL8zk=")</f>
        <v>1</v>
      </c>
      <c r="BG1" t="e">
        <f>AND(Percentage!E4,"AAAAAFbL8zo=")</f>
        <v>#VALUE!</v>
      </c>
      <c r="BH1" t="e">
        <f>AND(Percentage!F4,"AAAAAFbL8zs=")</f>
        <v>#VALUE!</v>
      </c>
      <c r="BI1" t="b">
        <f>AND(Percentage!G4,"AAAAAFbL8zw=")</f>
        <v>0</v>
      </c>
      <c r="BJ1" t="b">
        <f>AND(Percentage!H4,"AAAAAFbL8z0=")</f>
        <v>0</v>
      </c>
      <c r="BK1" t="b">
        <f>AND(Percentage!I4,"AAAAAFbL8z4=")</f>
        <v>0</v>
      </c>
      <c r="BL1" t="e">
        <f>AND(Percentage!J4,"AAAAAFbL8z8=")</f>
        <v>#VALUE!</v>
      </c>
      <c r="BM1" t="e">
        <f>AND(Percentage!K4,"AAAAAFbL80A=")</f>
        <v>#VALUE!</v>
      </c>
      <c r="BN1" t="e">
        <f>AND(Percentage!L4,"AAAAAFbL80E=")</f>
        <v>#VALUE!</v>
      </c>
      <c r="BO1" t="e">
        <f>AND(Percentage!M4,"AAAAAFbL80I=")</f>
        <v>#VALUE!</v>
      </c>
      <c r="BP1" t="e">
        <f>AND(Percentage!N4,"AAAAAFbL80M=")</f>
        <v>#VALUE!</v>
      </c>
      <c r="BQ1" t="e">
        <f>AND(Percentage!O4,"AAAAAFbL80Q=")</f>
        <v>#VALUE!</v>
      </c>
      <c r="BR1" t="e">
        <f>AND(Percentage!P4,"AAAAAFbL80U=")</f>
        <v>#VALUE!</v>
      </c>
      <c r="BS1" t="e">
        <f>AND(Percentage!Q4,"AAAAAFbL80Y=")</f>
        <v>#VALUE!</v>
      </c>
      <c r="BT1" t="b">
        <f>AND(Percentage!R4,"AAAAAFbL80c=")</f>
        <v>0</v>
      </c>
      <c r="BU1" t="e">
        <f>AND(Percentage!S4,"AAAAAFbL80g=")</f>
        <v>#VALUE!</v>
      </c>
      <c r="BV1" t="e">
        <f>AND(Percentage!T4,"AAAAAFbL80k=")</f>
        <v>#VALUE!</v>
      </c>
      <c r="BW1" t="e">
        <f>AND(Percentage!U4,"AAAAAFbL80o=")</f>
        <v>#VALUE!</v>
      </c>
      <c r="BX1" t="b">
        <f>AND(Percentage!V4,"AAAAAFbL80s=")</f>
        <v>1</v>
      </c>
      <c r="BY1" t="b">
        <f>AND(Percentage!W4,"AAAAAFbL80w=")</f>
        <v>1</v>
      </c>
      <c r="BZ1" t="b">
        <f>AND(Percentage!X4,"AAAAAFbL800=")</f>
        <v>0</v>
      </c>
      <c r="CA1" t="b">
        <f>AND(Percentage!Y4,"AAAAAFbL804=")</f>
        <v>1</v>
      </c>
      <c r="CB1" t="b">
        <f>AND(Percentage!Z4,"AAAAAFbL808=")</f>
        <v>0</v>
      </c>
      <c r="CC1" t="b">
        <f>AND(Percentage!AA4,"AAAAAFbL81A=")</f>
        <v>1</v>
      </c>
      <c r="CD1">
        <f>IF(Percentage!5:5,"AAAAAFbL81E=",0)</f>
        <v>0</v>
      </c>
      <c r="CE1" t="e">
        <f>AND(Percentage!B5,"AAAAAFbL81I=")</f>
        <v>#VALUE!</v>
      </c>
      <c r="CF1" t="b">
        <f>AND(Percentage!C5,"AAAAAFbL81M=")</f>
        <v>1</v>
      </c>
      <c r="CG1" t="b">
        <f>AND(Percentage!D5,"AAAAAFbL81Q=")</f>
        <v>1</v>
      </c>
      <c r="CH1" t="e">
        <f>AND(Percentage!E5,"AAAAAFbL81U=")</f>
        <v>#VALUE!</v>
      </c>
      <c r="CI1" t="e">
        <f>AND(Percentage!F5,"AAAAAFbL81Y=")</f>
        <v>#VALUE!</v>
      </c>
      <c r="CJ1" t="b">
        <f>AND(Percentage!G5,"AAAAAFbL81c=")</f>
        <v>0</v>
      </c>
      <c r="CK1" t="b">
        <f>AND(Percentage!H5,"AAAAAFbL81g=")</f>
        <v>0</v>
      </c>
      <c r="CL1" t="b">
        <f>AND(Percentage!I5,"AAAAAFbL81k=")</f>
        <v>1</v>
      </c>
      <c r="CM1" t="e">
        <f>AND(Percentage!J5,"AAAAAFbL81o=")</f>
        <v>#VALUE!</v>
      </c>
      <c r="CN1" t="e">
        <f>AND(Percentage!K5,"AAAAAFbL81s=")</f>
        <v>#VALUE!</v>
      </c>
      <c r="CO1" t="e">
        <f>AND(Percentage!L5,"AAAAAFbL81w=")</f>
        <v>#VALUE!</v>
      </c>
      <c r="CP1" t="e">
        <f>AND(Percentage!M5,"AAAAAFbL810=")</f>
        <v>#VALUE!</v>
      </c>
      <c r="CQ1" t="e">
        <f>AND(Percentage!N5,"AAAAAFbL814=")</f>
        <v>#VALUE!</v>
      </c>
      <c r="CR1" t="e">
        <f>AND(Percentage!O5,"AAAAAFbL818=")</f>
        <v>#VALUE!</v>
      </c>
      <c r="CS1" t="e">
        <f>AND(Percentage!P5,"AAAAAFbL82A=")</f>
        <v>#VALUE!</v>
      </c>
      <c r="CT1" t="e">
        <f>AND(Percentage!Q5,"AAAAAFbL82E=")</f>
        <v>#VALUE!</v>
      </c>
      <c r="CU1" t="b">
        <f>AND(Percentage!R5,"AAAAAFbL82I=")</f>
        <v>0</v>
      </c>
      <c r="CV1" t="e">
        <f>AND(Percentage!S5,"AAAAAFbL82M=")</f>
        <v>#VALUE!</v>
      </c>
      <c r="CW1" t="e">
        <f>AND(Percentage!T5,"AAAAAFbL82Q=")</f>
        <v>#VALUE!</v>
      </c>
      <c r="CX1" t="e">
        <f>AND(Percentage!U5,"AAAAAFbL82U=")</f>
        <v>#VALUE!</v>
      </c>
      <c r="CY1" t="b">
        <f>AND(Percentage!V5,"AAAAAFbL82Y=")</f>
        <v>1</v>
      </c>
      <c r="CZ1" t="b">
        <f>AND(Percentage!W5,"AAAAAFbL82c=")</f>
        <v>1</v>
      </c>
      <c r="DA1" t="b">
        <f>AND(Percentage!X5,"AAAAAFbL82g=")</f>
        <v>1</v>
      </c>
      <c r="DB1" t="b">
        <f>AND(Percentage!Y5,"AAAAAFbL82k=")</f>
        <v>1</v>
      </c>
      <c r="DC1" t="b">
        <f>AND(Percentage!Z5,"AAAAAFbL82o=")</f>
        <v>1</v>
      </c>
      <c r="DD1" t="b">
        <f>AND(Percentage!AA5,"AAAAAFbL82s=")</f>
        <v>1</v>
      </c>
      <c r="DE1">
        <f>IF(Percentage!6:6,"AAAAAFbL82w=",0)</f>
        <v>0</v>
      </c>
      <c r="DF1" t="e">
        <f>AND(Percentage!B6,"AAAAAFbL820=")</f>
        <v>#VALUE!</v>
      </c>
      <c r="DG1" t="b">
        <f>AND(Percentage!C6,"AAAAAFbL824=")</f>
        <v>1</v>
      </c>
      <c r="DH1" t="b">
        <f>AND(Percentage!D6,"AAAAAFbL828=")</f>
        <v>1</v>
      </c>
      <c r="DI1" t="e">
        <f>AND(Percentage!E6,"AAAAAFbL83A=")</f>
        <v>#VALUE!</v>
      </c>
      <c r="DJ1" t="e">
        <f>AND(Percentage!F6,"AAAAAFbL83E=")</f>
        <v>#VALUE!</v>
      </c>
      <c r="DK1" t="b">
        <f>AND(Percentage!G6,"AAAAAFbL83I=")</f>
        <v>1</v>
      </c>
      <c r="DL1" t="b">
        <f>AND(Percentage!H6,"AAAAAFbL83M=")</f>
        <v>0</v>
      </c>
      <c r="DM1" t="b">
        <f>AND(Percentage!I6,"AAAAAFbL83Q=")</f>
        <v>1</v>
      </c>
      <c r="DN1" t="e">
        <f>AND(Percentage!J6,"AAAAAFbL83U=")</f>
        <v>#VALUE!</v>
      </c>
      <c r="DO1" t="e">
        <f>AND(Percentage!K6,"AAAAAFbL83Y=")</f>
        <v>#VALUE!</v>
      </c>
      <c r="DP1" t="e">
        <f>AND(Percentage!L6,"AAAAAFbL83c=")</f>
        <v>#VALUE!</v>
      </c>
      <c r="DQ1" t="e">
        <f>AND(Percentage!M6,"AAAAAFbL83g=")</f>
        <v>#VALUE!</v>
      </c>
      <c r="DR1" t="e">
        <f>AND(Percentage!N6,"AAAAAFbL83k=")</f>
        <v>#VALUE!</v>
      </c>
      <c r="DS1" t="e">
        <f>AND(Percentage!O6,"AAAAAFbL83o=")</f>
        <v>#VALUE!</v>
      </c>
      <c r="DT1" t="e">
        <f>AND(Percentage!P6,"AAAAAFbL83s=")</f>
        <v>#VALUE!</v>
      </c>
      <c r="DU1" t="e">
        <f>AND(Percentage!Q6,"AAAAAFbL83w=")</f>
        <v>#VALUE!</v>
      </c>
      <c r="DV1" t="b">
        <f>AND(Percentage!R6,"AAAAAFbL830=")</f>
        <v>0</v>
      </c>
      <c r="DW1" t="b">
        <f>AND(Percentage!S6,"AAAAAFbL834=")</f>
        <v>1</v>
      </c>
      <c r="DX1" t="e">
        <f>AND(Percentage!T6,"AAAAAFbL838=")</f>
        <v>#VALUE!</v>
      </c>
      <c r="DY1" t="e">
        <f>AND(Percentage!U6,"AAAAAFbL84A=")</f>
        <v>#VALUE!</v>
      </c>
      <c r="DZ1" t="b">
        <f>AND(Percentage!V6,"AAAAAFbL84E=")</f>
        <v>1</v>
      </c>
      <c r="EA1" t="b">
        <f>AND(Percentage!W6,"AAAAAFbL84I=")</f>
        <v>1</v>
      </c>
      <c r="EB1" t="b">
        <f>AND(Percentage!X6,"AAAAAFbL84M=")</f>
        <v>1</v>
      </c>
      <c r="EC1" t="b">
        <f>AND(Percentage!Y6,"AAAAAFbL84Q=")</f>
        <v>1</v>
      </c>
      <c r="ED1" t="b">
        <f>AND(Percentage!Z6,"AAAAAFbL84U=")</f>
        <v>1</v>
      </c>
      <c r="EE1" t="b">
        <f>AND(Percentage!AA6,"AAAAAFbL84Y=")</f>
        <v>1</v>
      </c>
      <c r="EF1">
        <f>IF(Percentage!7:7,"AAAAAFbL84c=",0)</f>
        <v>0</v>
      </c>
      <c r="EG1" t="e">
        <f>AND(Percentage!B7,"AAAAAFbL84g=")</f>
        <v>#VALUE!</v>
      </c>
      <c r="EH1" t="b">
        <f>AND(Percentage!C7,"AAAAAFbL84k=")</f>
        <v>1</v>
      </c>
      <c r="EI1" t="b">
        <f>AND(Percentage!D7,"AAAAAFbL84o=")</f>
        <v>1</v>
      </c>
      <c r="EJ1" t="e">
        <f>AND(Percentage!E7,"AAAAAFbL84s=")</f>
        <v>#VALUE!</v>
      </c>
      <c r="EK1" t="e">
        <f>AND(Percentage!F7,"AAAAAFbL84w=")</f>
        <v>#VALUE!</v>
      </c>
      <c r="EL1" t="b">
        <f>AND(Percentage!G7,"AAAAAFbL840=")</f>
        <v>1</v>
      </c>
      <c r="EM1" t="b">
        <f>AND(Percentage!H7,"AAAAAFbL844=")</f>
        <v>0</v>
      </c>
      <c r="EN1" t="b">
        <f>AND(Percentage!I7,"AAAAAFbL848=")</f>
        <v>1</v>
      </c>
      <c r="EO1" t="b">
        <f>AND(Percentage!J7,"AAAAAFbL85A=")</f>
        <v>0</v>
      </c>
      <c r="EP1" t="e">
        <f>AND(Percentage!K7,"AAAAAFbL85E=")</f>
        <v>#VALUE!</v>
      </c>
      <c r="EQ1" t="e">
        <f>AND(Percentage!L7,"AAAAAFbL85I=")</f>
        <v>#VALUE!</v>
      </c>
      <c r="ER1" t="e">
        <f>AND(Percentage!M7,"AAAAAFbL85M=")</f>
        <v>#VALUE!</v>
      </c>
      <c r="ES1" t="e">
        <f>AND(Percentage!N7,"AAAAAFbL85Q=")</f>
        <v>#VALUE!</v>
      </c>
      <c r="ET1" t="e">
        <f>AND(Percentage!O7,"AAAAAFbL85U=")</f>
        <v>#VALUE!</v>
      </c>
      <c r="EU1" t="e">
        <f>AND(Percentage!P7,"AAAAAFbL85Y=")</f>
        <v>#VALUE!</v>
      </c>
      <c r="EV1" t="e">
        <f>AND(Percentage!Q7,"AAAAAFbL85c=")</f>
        <v>#VALUE!</v>
      </c>
      <c r="EW1" t="b">
        <f>AND(Percentage!R7,"AAAAAFbL85g=")</f>
        <v>0</v>
      </c>
      <c r="EX1" t="e">
        <f>AND(Percentage!S7,"AAAAAFbL85k=")</f>
        <v>#VALUE!</v>
      </c>
      <c r="EY1" t="e">
        <f>AND(Percentage!T7,"AAAAAFbL85o=")</f>
        <v>#VALUE!</v>
      </c>
      <c r="EZ1" t="e">
        <f>AND(Percentage!U7,"AAAAAFbL85s=")</f>
        <v>#VALUE!</v>
      </c>
      <c r="FA1" t="b">
        <f>AND(Percentage!V7,"AAAAAFbL85w=")</f>
        <v>1</v>
      </c>
      <c r="FB1" t="b">
        <f>AND(Percentage!W7,"AAAAAFbL850=")</f>
        <v>1</v>
      </c>
      <c r="FC1" t="b">
        <f>AND(Percentage!X7,"AAAAAFbL854=")</f>
        <v>1</v>
      </c>
      <c r="FD1" t="b">
        <f>AND(Percentage!Y7,"AAAAAFbL858=")</f>
        <v>1</v>
      </c>
      <c r="FE1" t="b">
        <f>AND(Percentage!Z7,"AAAAAFbL86A=")</f>
        <v>1</v>
      </c>
      <c r="FF1" t="b">
        <f>AND(Percentage!AA7,"AAAAAFbL86E=")</f>
        <v>1</v>
      </c>
      <c r="FG1">
        <f>IF(Percentage!8:8,"AAAAAFbL86I=",0)</f>
        <v>0</v>
      </c>
      <c r="FH1" t="e">
        <f>AND(Percentage!B8,"AAAAAFbL86M=")</f>
        <v>#VALUE!</v>
      </c>
      <c r="FI1" t="b">
        <f>AND(Percentage!C8,"AAAAAFbL86Q=")</f>
        <v>1</v>
      </c>
      <c r="FJ1" t="b">
        <f>AND(Percentage!D8,"AAAAAFbL86U=")</f>
        <v>1</v>
      </c>
      <c r="FK1" t="e">
        <f>AND(Percentage!E8,"AAAAAFbL86Y=")</f>
        <v>#VALUE!</v>
      </c>
      <c r="FL1" t="e">
        <f>AND(Percentage!F8,"AAAAAFbL86c=")</f>
        <v>#VALUE!</v>
      </c>
      <c r="FM1" t="b">
        <f>AND(Percentage!G8,"AAAAAFbL86g=")</f>
        <v>1</v>
      </c>
      <c r="FN1" t="b">
        <f>AND(Percentage!H8,"AAAAAFbL86k=")</f>
        <v>1</v>
      </c>
      <c r="FO1" t="b">
        <f>AND(Percentage!I8,"AAAAAFbL86o=")</f>
        <v>0</v>
      </c>
      <c r="FP1" t="b">
        <f>AND(Percentage!J8,"AAAAAFbL86s=")</f>
        <v>1</v>
      </c>
      <c r="FQ1" t="e">
        <f>AND(Percentage!K8,"AAAAAFbL86w=")</f>
        <v>#VALUE!</v>
      </c>
      <c r="FR1" t="e">
        <f>AND(Percentage!L8,"AAAAAFbL860=")</f>
        <v>#VALUE!</v>
      </c>
      <c r="FS1" t="e">
        <f>AND(Percentage!M8,"AAAAAFbL864=")</f>
        <v>#VALUE!</v>
      </c>
      <c r="FT1" t="e">
        <f>AND(Percentage!N8,"AAAAAFbL868=")</f>
        <v>#VALUE!</v>
      </c>
      <c r="FU1" t="e">
        <f>AND(Percentage!O8,"AAAAAFbL87A=")</f>
        <v>#VALUE!</v>
      </c>
      <c r="FV1" t="e">
        <f>AND(Percentage!P8,"AAAAAFbL87E=")</f>
        <v>#VALUE!</v>
      </c>
      <c r="FW1" t="e">
        <f>AND(Percentage!Q8,"AAAAAFbL87I=")</f>
        <v>#VALUE!</v>
      </c>
      <c r="FX1" t="b">
        <f>AND(Percentage!R8,"AAAAAFbL87M=")</f>
        <v>0</v>
      </c>
      <c r="FY1" t="e">
        <f>AND(Percentage!S8,"AAAAAFbL87Q=")</f>
        <v>#VALUE!</v>
      </c>
      <c r="FZ1" t="e">
        <f>AND(Percentage!T8,"AAAAAFbL87U=")</f>
        <v>#VALUE!</v>
      </c>
      <c r="GA1" t="e">
        <f>AND(Percentage!U8,"AAAAAFbL87Y=")</f>
        <v>#VALUE!</v>
      </c>
      <c r="GB1" t="b">
        <f>AND(Percentage!V8,"AAAAAFbL87c=")</f>
        <v>1</v>
      </c>
      <c r="GC1" t="b">
        <f>AND(Percentage!W8,"AAAAAFbL87g=")</f>
        <v>1</v>
      </c>
      <c r="GD1" t="b">
        <f>AND(Percentage!X8,"AAAAAFbL87k=")</f>
        <v>1</v>
      </c>
      <c r="GE1" t="b">
        <f>AND(Percentage!Y8,"AAAAAFbL87o=")</f>
        <v>1</v>
      </c>
      <c r="GF1" t="b">
        <f>AND(Percentage!Z8,"AAAAAFbL87s=")</f>
        <v>1</v>
      </c>
      <c r="GG1" t="b">
        <f>AND(Percentage!AA8,"AAAAAFbL87w=")</f>
        <v>1</v>
      </c>
      <c r="GH1">
        <f>IF(Percentage!9:9,"AAAAAFbL870=",0)</f>
        <v>0</v>
      </c>
      <c r="GI1" t="e">
        <f>AND(Percentage!B9,"AAAAAFbL874=")</f>
        <v>#VALUE!</v>
      </c>
      <c r="GJ1" t="b">
        <f>AND(Percentage!C9,"AAAAAFbL878=")</f>
        <v>1</v>
      </c>
      <c r="GK1" t="b">
        <f>AND(Percentage!D9,"AAAAAFbL88A=")</f>
        <v>1</v>
      </c>
      <c r="GL1" t="e">
        <f>AND(Percentage!E9,"AAAAAFbL88E=")</f>
        <v>#VALUE!</v>
      </c>
      <c r="GM1" t="e">
        <f>AND(Percentage!F9,"AAAAAFbL88I=")</f>
        <v>#VALUE!</v>
      </c>
      <c r="GN1" t="b">
        <f>AND(Percentage!G9,"AAAAAFbL88M=")</f>
        <v>1</v>
      </c>
      <c r="GO1" t="b">
        <f>AND(Percentage!H9,"AAAAAFbL88Q=")</f>
        <v>1</v>
      </c>
      <c r="GP1" t="e">
        <f>AND(Percentage!I9,"AAAAAFbL88U=")</f>
        <v>#VALUE!</v>
      </c>
      <c r="GQ1" t="b">
        <f>AND(Percentage!J9,"AAAAAFbL88Y=")</f>
        <v>1</v>
      </c>
      <c r="GR1" t="e">
        <f>AND(Percentage!K9,"AAAAAFbL88c=")</f>
        <v>#VALUE!</v>
      </c>
      <c r="GS1" t="e">
        <f>AND(Percentage!L9,"AAAAAFbL88g=")</f>
        <v>#VALUE!</v>
      </c>
      <c r="GT1" t="e">
        <f>AND(Percentage!M9,"AAAAAFbL88k=")</f>
        <v>#VALUE!</v>
      </c>
      <c r="GU1" t="e">
        <f>AND(Percentage!N9,"AAAAAFbL88o=")</f>
        <v>#VALUE!</v>
      </c>
      <c r="GV1" t="e">
        <f>AND(Percentage!O9,"AAAAAFbL88s=")</f>
        <v>#VALUE!</v>
      </c>
      <c r="GW1" t="e">
        <f>AND(Percentage!P9,"AAAAAFbL88w=")</f>
        <v>#VALUE!</v>
      </c>
      <c r="GX1" t="e">
        <f>AND(Percentage!Q9,"AAAAAFbL880=")</f>
        <v>#VALUE!</v>
      </c>
      <c r="GY1" t="b">
        <f>AND(Percentage!R9,"AAAAAFbL884=")</f>
        <v>0</v>
      </c>
      <c r="GZ1" t="b">
        <f>AND(Percentage!S9,"AAAAAFbL888=")</f>
        <v>1</v>
      </c>
      <c r="HA1" t="e">
        <f>AND(Percentage!T9,"AAAAAFbL89A=")</f>
        <v>#VALUE!</v>
      </c>
      <c r="HB1" t="e">
        <f>AND(Percentage!U9,"AAAAAFbL89E=")</f>
        <v>#VALUE!</v>
      </c>
      <c r="HC1" t="b">
        <f>AND(Percentage!V9,"AAAAAFbL89I=")</f>
        <v>1</v>
      </c>
      <c r="HD1" t="b">
        <f>AND(Percentage!W9,"AAAAAFbL89M=")</f>
        <v>1</v>
      </c>
      <c r="HE1" t="b">
        <f>AND(Percentage!X9,"AAAAAFbL89Q=")</f>
        <v>1</v>
      </c>
      <c r="HF1" t="b">
        <f>AND(Percentage!Y9,"AAAAAFbL89U=")</f>
        <v>1</v>
      </c>
      <c r="HG1" t="b">
        <f>AND(Percentage!Z9,"AAAAAFbL89Y=")</f>
        <v>1</v>
      </c>
      <c r="HH1" t="b">
        <f>AND(Percentage!AA9,"AAAAAFbL89c=")</f>
        <v>1</v>
      </c>
      <c r="HI1">
        <f>IF(Percentage!10:10,"AAAAAFbL89g=",0)</f>
        <v>0</v>
      </c>
      <c r="HJ1" t="e">
        <f>AND(Percentage!B10,"AAAAAFbL89k=")</f>
        <v>#VALUE!</v>
      </c>
      <c r="HK1" t="b">
        <f>AND(Percentage!C10,"AAAAAFbL89o=")</f>
        <v>1</v>
      </c>
      <c r="HL1" t="b">
        <f>AND(Percentage!D10,"AAAAAFbL89s=")</f>
        <v>1</v>
      </c>
      <c r="HM1" t="e">
        <f>AND(Percentage!E10,"AAAAAFbL89w=")</f>
        <v>#VALUE!</v>
      </c>
      <c r="HN1" t="e">
        <f>AND(Percentage!F10,"AAAAAFbL890=")</f>
        <v>#VALUE!</v>
      </c>
      <c r="HO1" t="b">
        <f>AND(Percentage!G10,"AAAAAFbL894=")</f>
        <v>1</v>
      </c>
      <c r="HP1" t="b">
        <f>AND(Percentage!H10,"AAAAAFbL898=")</f>
        <v>1</v>
      </c>
      <c r="HQ1" t="e">
        <f>AND(Percentage!I10,"AAAAAFbL8+A=")</f>
        <v>#VALUE!</v>
      </c>
      <c r="HR1" t="b">
        <f>AND(Percentage!J10,"AAAAAFbL8+E=")</f>
        <v>1</v>
      </c>
      <c r="HS1" t="b">
        <f>AND(Percentage!K10,"AAAAAFbL8+I=")</f>
        <v>0</v>
      </c>
      <c r="HT1" t="e">
        <f>AND(Percentage!L10,"AAAAAFbL8+M=")</f>
        <v>#VALUE!</v>
      </c>
      <c r="HU1" t="e">
        <f>AND(Percentage!M10,"AAAAAFbL8+Q=")</f>
        <v>#VALUE!</v>
      </c>
      <c r="HV1" t="e">
        <f>AND(Percentage!N10,"AAAAAFbL8+U=")</f>
        <v>#VALUE!</v>
      </c>
      <c r="HW1" t="e">
        <f>AND(Percentage!O10,"AAAAAFbL8+Y=")</f>
        <v>#VALUE!</v>
      </c>
      <c r="HX1" t="e">
        <f>AND(Percentage!P10,"AAAAAFbL8+c=")</f>
        <v>#VALUE!</v>
      </c>
      <c r="HY1" t="e">
        <f>AND(Percentage!Q10,"AAAAAFbL8+g=")</f>
        <v>#VALUE!</v>
      </c>
      <c r="HZ1" t="b">
        <f>AND(Percentage!R10,"AAAAAFbL8+k=")</f>
        <v>0</v>
      </c>
      <c r="IA1" t="e">
        <f>AND(Percentage!S10,"AAAAAFbL8+o=")</f>
        <v>#VALUE!</v>
      </c>
      <c r="IB1" t="e">
        <f>AND(Percentage!T10,"AAAAAFbL8+s=")</f>
        <v>#VALUE!</v>
      </c>
      <c r="IC1" t="e">
        <f>AND(Percentage!U10,"AAAAAFbL8+w=")</f>
        <v>#VALUE!</v>
      </c>
      <c r="ID1" t="b">
        <f>AND(Percentage!V10,"AAAAAFbL8+0=")</f>
        <v>1</v>
      </c>
      <c r="IE1" t="b">
        <f>AND(Percentage!W10,"AAAAAFbL8+4=")</f>
        <v>1</v>
      </c>
      <c r="IF1" t="b">
        <f>AND(Percentage!X10,"AAAAAFbL8+8=")</f>
        <v>1</v>
      </c>
      <c r="IG1" t="b">
        <f>AND(Percentage!Y10,"AAAAAFbL8/A=")</f>
        <v>1</v>
      </c>
      <c r="IH1" t="b">
        <f>AND(Percentage!Z10,"AAAAAFbL8/E=")</f>
        <v>1</v>
      </c>
      <c r="II1" t="b">
        <f>AND(Percentage!AA10,"AAAAAFbL8/I=")</f>
        <v>1</v>
      </c>
      <c r="IJ1">
        <f>IF(Percentage!11:11,"AAAAAFbL8/M=",0)</f>
        <v>0</v>
      </c>
      <c r="IK1" t="e">
        <f>AND(Percentage!B11,"AAAAAFbL8/Q=")</f>
        <v>#VALUE!</v>
      </c>
      <c r="IL1" t="b">
        <f>AND(Percentage!C11,"AAAAAFbL8/U=")</f>
        <v>1</v>
      </c>
      <c r="IM1" t="b">
        <f>AND(Percentage!D11,"AAAAAFbL8/Y=")</f>
        <v>1</v>
      </c>
      <c r="IN1" t="e">
        <f>AND(Percentage!E11,"AAAAAFbL8/c=")</f>
        <v>#VALUE!</v>
      </c>
      <c r="IO1" t="e">
        <f>AND(Percentage!F11,"AAAAAFbL8/g=")</f>
        <v>#VALUE!</v>
      </c>
      <c r="IP1" t="b">
        <f>AND(Percentage!G11,"AAAAAFbL8/k=")</f>
        <v>1</v>
      </c>
      <c r="IQ1" t="b">
        <f>AND(Percentage!H11,"AAAAAFbL8/o=")</f>
        <v>1</v>
      </c>
      <c r="IR1" t="e">
        <f>AND(Percentage!I11,"AAAAAFbL8/s=")</f>
        <v>#VALUE!</v>
      </c>
      <c r="IS1" t="b">
        <f>AND(Percentage!J11,"AAAAAFbL8/w=")</f>
        <v>0</v>
      </c>
      <c r="IT1" t="b">
        <f>AND(Percentage!K11,"AAAAAFbL8/0=")</f>
        <v>1</v>
      </c>
      <c r="IU1" t="e">
        <f>AND(Percentage!L11,"AAAAAFbL8/4=")</f>
        <v>#VALUE!</v>
      </c>
      <c r="IV1" t="e">
        <f>AND(Percentage!M11,"AAAAAFbL8/8=")</f>
        <v>#VALUE!</v>
      </c>
    </row>
    <row r="2" spans="1:256" x14ac:dyDescent="0.25">
      <c r="A2" t="e">
        <f>AND(Percentage!N11,"AAAAAH7f/wA=")</f>
        <v>#VALUE!</v>
      </c>
      <c r="B2" t="e">
        <f>AND(Percentage!O11,"AAAAAH7f/wE=")</f>
        <v>#VALUE!</v>
      </c>
      <c r="C2" t="e">
        <f>AND(Percentage!P11,"AAAAAH7f/wI=")</f>
        <v>#VALUE!</v>
      </c>
      <c r="D2" t="e">
        <f>AND(Percentage!Q11,"AAAAAH7f/wM=")</f>
        <v>#VALUE!</v>
      </c>
      <c r="E2" t="b">
        <f>AND(Percentage!R11,"AAAAAH7f/wQ=")</f>
        <v>0</v>
      </c>
      <c r="F2" t="e">
        <f>AND(Percentage!S11,"AAAAAH7f/wU=")</f>
        <v>#VALUE!</v>
      </c>
      <c r="G2" t="e">
        <f>AND(Percentage!T11,"AAAAAH7f/wY=")</f>
        <v>#VALUE!</v>
      </c>
      <c r="H2" t="e">
        <f>AND(Percentage!U11,"AAAAAH7f/wc=")</f>
        <v>#VALUE!</v>
      </c>
      <c r="I2" t="b">
        <f>AND(Percentage!V11,"AAAAAH7f/wg=")</f>
        <v>1</v>
      </c>
      <c r="J2" t="b">
        <f>AND(Percentage!W11,"AAAAAH7f/wk=")</f>
        <v>1</v>
      </c>
      <c r="K2" t="b">
        <f>AND(Percentage!X11,"AAAAAH7f/wo=")</f>
        <v>1</v>
      </c>
      <c r="L2" t="b">
        <f>AND(Percentage!Y11,"AAAAAH7f/ws=")</f>
        <v>1</v>
      </c>
      <c r="M2" t="b">
        <f>AND(Percentage!Z11,"AAAAAH7f/ww=")</f>
        <v>1</v>
      </c>
      <c r="N2" t="b">
        <f>AND(Percentage!AA11,"AAAAAH7f/w0=")</f>
        <v>1</v>
      </c>
      <c r="O2">
        <f>IF(Percentage!12:12,"AAAAAH7f/w4=",0)</f>
        <v>0</v>
      </c>
      <c r="P2" t="e">
        <f>AND(Percentage!B12,"AAAAAH7f/w8=")</f>
        <v>#VALUE!</v>
      </c>
      <c r="Q2" t="b">
        <f>AND(Percentage!C12,"AAAAAH7f/xA=")</f>
        <v>1</v>
      </c>
      <c r="R2" t="b">
        <f>AND(Percentage!D12,"AAAAAH7f/xE=")</f>
        <v>1</v>
      </c>
      <c r="S2" t="e">
        <f>AND(Percentage!E12,"AAAAAH7f/xI=")</f>
        <v>#VALUE!</v>
      </c>
      <c r="T2" t="e">
        <f>AND(Percentage!F12,"AAAAAH7f/xM=")</f>
        <v>#VALUE!</v>
      </c>
      <c r="U2" t="b">
        <f>AND(Percentage!G12,"AAAAAH7f/xQ=")</f>
        <v>1</v>
      </c>
      <c r="V2" t="b">
        <f>AND(Percentage!H12,"AAAAAH7f/xU=")</f>
        <v>1</v>
      </c>
      <c r="W2" t="e">
        <f>AND(Percentage!I12,"AAAAAH7f/xY=")</f>
        <v>#VALUE!</v>
      </c>
      <c r="X2" t="e">
        <f>AND(Percentage!J12,"AAAAAH7f/xc=")</f>
        <v>#VALUE!</v>
      </c>
      <c r="Y2" t="b">
        <f>AND(Percentage!K12,"AAAAAH7f/xg=")</f>
        <v>1</v>
      </c>
      <c r="Z2" t="e">
        <f>AND(Percentage!L12,"AAAAAH7f/xk=")</f>
        <v>#VALUE!</v>
      </c>
      <c r="AA2" t="e">
        <f>AND(Percentage!M12,"AAAAAH7f/xo=")</f>
        <v>#VALUE!</v>
      </c>
      <c r="AB2" t="e">
        <f>AND(Percentage!N12,"AAAAAH7f/xs=")</f>
        <v>#VALUE!</v>
      </c>
      <c r="AC2" t="e">
        <f>AND(Percentage!O12,"AAAAAH7f/xw=")</f>
        <v>#VALUE!</v>
      </c>
      <c r="AD2" t="e">
        <f>AND(Percentage!P12,"AAAAAH7f/x0=")</f>
        <v>#VALUE!</v>
      </c>
      <c r="AE2" t="e">
        <f>AND(Percentage!Q12,"AAAAAH7f/x4=")</f>
        <v>#VALUE!</v>
      </c>
      <c r="AF2" t="b">
        <f>AND(Percentage!R12,"AAAAAH7f/x8=")</f>
        <v>0</v>
      </c>
      <c r="AG2" t="b">
        <f>AND(Percentage!S12,"AAAAAH7f/yA=")</f>
        <v>1</v>
      </c>
      <c r="AH2" t="e">
        <f>AND(Percentage!T12,"AAAAAH7f/yE=")</f>
        <v>#VALUE!</v>
      </c>
      <c r="AI2" t="e">
        <f>AND(Percentage!U12,"AAAAAH7f/yI=")</f>
        <v>#VALUE!</v>
      </c>
      <c r="AJ2" t="b">
        <f>AND(Percentage!V12,"AAAAAH7f/yM=")</f>
        <v>1</v>
      </c>
      <c r="AK2" t="b">
        <f>AND(Percentage!W12,"AAAAAH7f/yQ=")</f>
        <v>1</v>
      </c>
      <c r="AL2" t="b">
        <f>AND(Percentage!X12,"AAAAAH7f/yU=")</f>
        <v>1</v>
      </c>
      <c r="AM2" t="b">
        <f>AND(Percentage!Y12,"AAAAAH7f/yY=")</f>
        <v>1</v>
      </c>
      <c r="AN2" t="b">
        <f>AND(Percentage!Z12,"AAAAAH7f/yc=")</f>
        <v>1</v>
      </c>
      <c r="AO2" t="b">
        <f>AND(Percentage!AA12,"AAAAAH7f/yg=")</f>
        <v>1</v>
      </c>
      <c r="AP2">
        <f>IF(Percentage!13:13,"AAAAAH7f/yk=",0)</f>
        <v>0</v>
      </c>
      <c r="AQ2" t="e">
        <f>AND(Percentage!B13,"AAAAAH7f/yo=")</f>
        <v>#VALUE!</v>
      </c>
      <c r="AR2" t="e">
        <f>AND(Percentage!C13,"AAAAAH7f/ys=")</f>
        <v>#VALUE!</v>
      </c>
      <c r="AS2" t="e">
        <f>AND(Percentage!D13,"AAAAAH7f/yw=")</f>
        <v>#VALUE!</v>
      </c>
      <c r="AT2" t="e">
        <f>AND(Percentage!E13,"AAAAAH7f/y0=")</f>
        <v>#VALUE!</v>
      </c>
      <c r="AU2" t="e">
        <f>AND(Percentage!F13,"AAAAAH7f/y4=")</f>
        <v>#VALUE!</v>
      </c>
      <c r="AV2" t="b">
        <f>AND(Percentage!G13,"AAAAAH7f/y8=")</f>
        <v>1</v>
      </c>
      <c r="AW2" t="b">
        <f>AND(Percentage!H13,"AAAAAH7f/zA=")</f>
        <v>1</v>
      </c>
      <c r="AX2" t="e">
        <f>AND(Percentage!I13,"AAAAAH7f/zE=")</f>
        <v>#VALUE!</v>
      </c>
      <c r="AY2" t="e">
        <f>AND(Percentage!J13,"AAAAAH7f/zI=")</f>
        <v>#VALUE!</v>
      </c>
      <c r="AZ2" t="b">
        <f>AND(Percentage!K13,"AAAAAH7f/zM=")</f>
        <v>1</v>
      </c>
      <c r="BA2" t="b">
        <f>AND(Percentage!L13,"AAAAAH7f/zQ=")</f>
        <v>0</v>
      </c>
      <c r="BB2" t="e">
        <f>AND(Percentage!M13,"AAAAAH7f/zU=")</f>
        <v>#VALUE!</v>
      </c>
      <c r="BC2" t="e">
        <f>AND(Percentage!N13,"AAAAAH7f/zY=")</f>
        <v>#VALUE!</v>
      </c>
      <c r="BD2" t="e">
        <f>AND(Percentage!O13,"AAAAAH7f/zc=")</f>
        <v>#VALUE!</v>
      </c>
      <c r="BE2" t="e">
        <f>AND(Percentage!P13,"AAAAAH7f/zg=")</f>
        <v>#VALUE!</v>
      </c>
      <c r="BF2" t="e">
        <f>AND(Percentage!Q13,"AAAAAH7f/zk=")</f>
        <v>#VALUE!</v>
      </c>
      <c r="BG2" t="b">
        <f>AND(Percentage!R13,"AAAAAH7f/zo=")</f>
        <v>0</v>
      </c>
      <c r="BH2" t="e">
        <f>AND(Percentage!S13,"AAAAAH7f/zs=")</f>
        <v>#VALUE!</v>
      </c>
      <c r="BI2" t="e">
        <f>AND(Percentage!T13,"AAAAAH7f/zw=")</f>
        <v>#VALUE!</v>
      </c>
      <c r="BJ2" t="e">
        <f>AND(Percentage!U13,"AAAAAH7f/z0=")</f>
        <v>#VALUE!</v>
      </c>
      <c r="BK2" t="e">
        <f>AND(Percentage!V13,"AAAAAH7f/z4=")</f>
        <v>#VALUE!</v>
      </c>
      <c r="BL2" t="e">
        <f>AND(Percentage!W13,"AAAAAH7f/z8=")</f>
        <v>#VALUE!</v>
      </c>
      <c r="BM2" t="b">
        <f>AND(Percentage!X13,"AAAAAH7f/0A=")</f>
        <v>1</v>
      </c>
      <c r="BN2" t="e">
        <f>AND(Percentage!Y13,"AAAAAH7f/0E=")</f>
        <v>#VALUE!</v>
      </c>
      <c r="BO2" t="b">
        <f>AND(Percentage!Z13,"AAAAAH7f/0I=")</f>
        <v>1</v>
      </c>
      <c r="BP2" t="e">
        <f>AND(Percentage!AA13,"AAAAAH7f/0M=")</f>
        <v>#VALUE!</v>
      </c>
      <c r="BQ2">
        <f>IF(Percentage!14:14,"AAAAAH7f/0Q=",0)</f>
        <v>0</v>
      </c>
      <c r="BR2" t="e">
        <f>AND(Percentage!B14,"AAAAAH7f/0U=")</f>
        <v>#VALUE!</v>
      </c>
      <c r="BS2" t="e">
        <f>AND(Percentage!C14,"AAAAAH7f/0Y=")</f>
        <v>#VALUE!</v>
      </c>
      <c r="BT2" t="e">
        <f>AND(Percentage!D14,"AAAAAH7f/0c=")</f>
        <v>#VALUE!</v>
      </c>
      <c r="BU2" t="e">
        <f>AND(Percentage!E14,"AAAAAH7f/0g=")</f>
        <v>#VALUE!</v>
      </c>
      <c r="BV2" t="e">
        <f>AND(Percentage!F14,"AAAAAH7f/0k=")</f>
        <v>#VALUE!</v>
      </c>
      <c r="BW2" t="b">
        <f>AND(Percentage!G14,"AAAAAH7f/0o=")</f>
        <v>1</v>
      </c>
      <c r="BX2" t="b">
        <f>AND(Percentage!H14,"AAAAAH7f/0s=")</f>
        <v>1</v>
      </c>
      <c r="BY2" t="e">
        <f>AND(Percentage!I14,"AAAAAH7f/0w=")</f>
        <v>#VALUE!</v>
      </c>
      <c r="BZ2" t="e">
        <f>AND(Percentage!J14,"AAAAAH7f/00=")</f>
        <v>#VALUE!</v>
      </c>
      <c r="CA2" t="b">
        <f>AND(Percentage!K14,"AAAAAH7f/04=")</f>
        <v>0</v>
      </c>
      <c r="CB2" t="b">
        <f>AND(Percentage!L14,"AAAAAH7f/08=")</f>
        <v>1</v>
      </c>
      <c r="CC2" t="e">
        <f>AND(Percentage!M14,"AAAAAH7f/1A=")</f>
        <v>#VALUE!</v>
      </c>
      <c r="CD2" t="e">
        <f>AND(Percentage!N14,"AAAAAH7f/1E=")</f>
        <v>#VALUE!</v>
      </c>
      <c r="CE2" t="e">
        <f>AND(Percentage!O14,"AAAAAH7f/1I=")</f>
        <v>#VALUE!</v>
      </c>
      <c r="CF2" t="e">
        <f>AND(Percentage!P14,"AAAAAH7f/1M=")</f>
        <v>#VALUE!</v>
      </c>
      <c r="CG2" t="e">
        <f>AND(Percentage!Q14,"AAAAAH7f/1Q=")</f>
        <v>#VALUE!</v>
      </c>
      <c r="CH2" t="b">
        <f>AND(Percentage!R14,"AAAAAH7f/1U=")</f>
        <v>0</v>
      </c>
      <c r="CI2" t="e">
        <f>AND(Percentage!S14,"AAAAAH7f/1Y=")</f>
        <v>#VALUE!</v>
      </c>
      <c r="CJ2" t="e">
        <f>AND(Percentage!T14,"AAAAAH7f/1c=")</f>
        <v>#VALUE!</v>
      </c>
      <c r="CK2" t="e">
        <f>AND(Percentage!U14,"AAAAAH7f/1g=")</f>
        <v>#VALUE!</v>
      </c>
      <c r="CL2" t="e">
        <f>AND(Percentage!V14,"AAAAAH7f/1k=")</f>
        <v>#VALUE!</v>
      </c>
      <c r="CM2" t="e">
        <f>AND(Percentage!W14,"AAAAAH7f/1o=")</f>
        <v>#VALUE!</v>
      </c>
      <c r="CN2" t="e">
        <f>AND(Percentage!X14,"AAAAAH7f/1s=")</f>
        <v>#VALUE!</v>
      </c>
      <c r="CO2" t="e">
        <f>AND(Percentage!Y14,"AAAAAH7f/1w=")</f>
        <v>#VALUE!</v>
      </c>
      <c r="CP2" t="e">
        <f>AND(Percentage!Z14,"AAAAAH7f/10=")</f>
        <v>#VALUE!</v>
      </c>
      <c r="CQ2" t="e">
        <f>AND(Percentage!AA14,"AAAAAH7f/14=")</f>
        <v>#VALUE!</v>
      </c>
      <c r="CR2">
        <f>IF(Percentage!15:15,"AAAAAH7f/18=",0)</f>
        <v>0</v>
      </c>
      <c r="CS2" t="e">
        <f>AND(Percentage!B15,"AAAAAH7f/2A=")</f>
        <v>#VALUE!</v>
      </c>
      <c r="CT2" t="e">
        <f>AND(Percentage!C15,"AAAAAH7f/2E=")</f>
        <v>#VALUE!</v>
      </c>
      <c r="CU2" t="e">
        <f>AND(Percentage!D15,"AAAAAH7f/2I=")</f>
        <v>#VALUE!</v>
      </c>
      <c r="CV2" t="e">
        <f>AND(Percentage!E15,"AAAAAH7f/2M=")</f>
        <v>#VALUE!</v>
      </c>
      <c r="CW2" t="e">
        <f>AND(Percentage!F15,"AAAAAH7f/2Q=")</f>
        <v>#VALUE!</v>
      </c>
      <c r="CX2" t="b">
        <f>AND(Percentage!G15,"AAAAAH7f/2U=")</f>
        <v>1</v>
      </c>
      <c r="CY2" t="b">
        <f>AND(Percentage!H15,"AAAAAH7f/2Y=")</f>
        <v>1</v>
      </c>
      <c r="CZ2" t="e">
        <f>AND(Percentage!I15,"AAAAAH7f/2c=")</f>
        <v>#VALUE!</v>
      </c>
      <c r="DA2" t="e">
        <f>AND(Percentage!J15,"AAAAAH7f/2g=")</f>
        <v>#VALUE!</v>
      </c>
      <c r="DB2" t="e">
        <f>AND(Percentage!K15,"AAAAAH7f/2k=")</f>
        <v>#VALUE!</v>
      </c>
      <c r="DC2" t="b">
        <f>AND(Percentage!L15,"AAAAAH7f/2o=")</f>
        <v>1</v>
      </c>
      <c r="DD2" t="e">
        <f>AND(Percentage!M15,"AAAAAH7f/2s=")</f>
        <v>#VALUE!</v>
      </c>
      <c r="DE2" t="e">
        <f>AND(Percentage!N15,"AAAAAH7f/2w=")</f>
        <v>#VALUE!</v>
      </c>
      <c r="DF2" t="e">
        <f>AND(Percentage!O15,"AAAAAH7f/20=")</f>
        <v>#VALUE!</v>
      </c>
      <c r="DG2" t="e">
        <f>AND(Percentage!P15,"AAAAAH7f/24=")</f>
        <v>#VALUE!</v>
      </c>
      <c r="DH2" t="e">
        <f>AND(Percentage!Q15,"AAAAAH7f/28=")</f>
        <v>#VALUE!</v>
      </c>
      <c r="DI2" t="b">
        <f>AND(Percentage!R15,"AAAAAH7f/3A=")</f>
        <v>0</v>
      </c>
      <c r="DJ2" t="b">
        <f>AND(Percentage!S15,"AAAAAH7f/3E=")</f>
        <v>1</v>
      </c>
      <c r="DK2" t="e">
        <f>AND(Percentage!T15,"AAAAAH7f/3I=")</f>
        <v>#VALUE!</v>
      </c>
      <c r="DL2" t="e">
        <f>AND(Percentage!U15,"AAAAAH7f/3M=")</f>
        <v>#VALUE!</v>
      </c>
      <c r="DM2" t="e">
        <f>AND(Percentage!V15,"AAAAAH7f/3Q=")</f>
        <v>#VALUE!</v>
      </c>
      <c r="DN2" t="e">
        <f>AND(Percentage!W15,"AAAAAH7f/3U=")</f>
        <v>#VALUE!</v>
      </c>
      <c r="DO2" t="e">
        <f>AND(Percentage!X15,"AAAAAH7f/3Y=")</f>
        <v>#VALUE!</v>
      </c>
      <c r="DP2" t="e">
        <f>AND(Percentage!Y15,"AAAAAH7f/3c=")</f>
        <v>#VALUE!</v>
      </c>
      <c r="DQ2" t="e">
        <f>AND(Percentage!Z15,"AAAAAH7f/3g=")</f>
        <v>#VALUE!</v>
      </c>
      <c r="DR2" t="e">
        <f>AND(Percentage!AA15,"AAAAAH7f/3k=")</f>
        <v>#VALUE!</v>
      </c>
      <c r="DS2">
        <f>IF(Percentage!16:16,"AAAAAH7f/3o=",0)</f>
        <v>0</v>
      </c>
      <c r="DT2" t="e">
        <f>AND(Percentage!B16,"AAAAAH7f/3s=")</f>
        <v>#VALUE!</v>
      </c>
      <c r="DU2" t="e">
        <f>AND(Percentage!C16,"AAAAAH7f/3w=")</f>
        <v>#VALUE!</v>
      </c>
      <c r="DV2" t="e">
        <f>AND(Percentage!D16,"AAAAAH7f/30=")</f>
        <v>#VALUE!</v>
      </c>
      <c r="DW2" t="e">
        <f>AND(Percentage!E16,"AAAAAH7f/34=")</f>
        <v>#VALUE!</v>
      </c>
      <c r="DX2" t="e">
        <f>AND(Percentage!F16,"AAAAAH7f/38=")</f>
        <v>#VALUE!</v>
      </c>
      <c r="DY2" t="b">
        <f>AND(Percentage!G16,"AAAAAH7f/4A=")</f>
        <v>1</v>
      </c>
      <c r="DZ2" t="b">
        <f>AND(Percentage!H16,"AAAAAH7f/4E=")</f>
        <v>1</v>
      </c>
      <c r="EA2" t="e">
        <f>AND(Percentage!I16,"AAAAAH7f/4I=")</f>
        <v>#VALUE!</v>
      </c>
      <c r="EB2" t="e">
        <f>AND(Percentage!J16,"AAAAAH7f/4M=")</f>
        <v>#VALUE!</v>
      </c>
      <c r="EC2" t="e">
        <f>AND(Percentage!K16,"AAAAAH7f/4Q=")</f>
        <v>#VALUE!</v>
      </c>
      <c r="ED2" t="b">
        <f>AND(Percentage!L16,"AAAAAH7f/4U=")</f>
        <v>1</v>
      </c>
      <c r="EE2" t="b">
        <f>AND(Percentage!M16,"AAAAAH7f/4Y=")</f>
        <v>0</v>
      </c>
      <c r="EF2" t="e">
        <f>AND(Percentage!N16,"AAAAAH7f/4c=")</f>
        <v>#VALUE!</v>
      </c>
      <c r="EG2" t="e">
        <f>AND(Percentage!O16,"AAAAAH7f/4g=")</f>
        <v>#VALUE!</v>
      </c>
      <c r="EH2" t="e">
        <f>AND(Percentage!P16,"AAAAAH7f/4k=")</f>
        <v>#VALUE!</v>
      </c>
      <c r="EI2" t="e">
        <f>AND(Percentage!Q16,"AAAAAH7f/4o=")</f>
        <v>#VALUE!</v>
      </c>
      <c r="EJ2" t="b">
        <f>AND(Percentage!R16,"AAAAAH7f/4s=")</f>
        <v>0</v>
      </c>
      <c r="EK2" t="e">
        <f>AND(Percentage!S16,"AAAAAH7f/4w=")</f>
        <v>#VALUE!</v>
      </c>
      <c r="EL2" t="e">
        <f>AND(Percentage!T16,"AAAAAH7f/40=")</f>
        <v>#VALUE!</v>
      </c>
      <c r="EM2" t="e">
        <f>AND(Percentage!U16,"AAAAAH7f/44=")</f>
        <v>#VALUE!</v>
      </c>
      <c r="EN2" t="e">
        <f>AND(Percentage!V16,"AAAAAH7f/48=")</f>
        <v>#VALUE!</v>
      </c>
      <c r="EO2" t="e">
        <f>AND(Percentage!W16,"AAAAAH7f/5A=")</f>
        <v>#VALUE!</v>
      </c>
      <c r="EP2" t="e">
        <f>AND(Percentage!X16,"AAAAAH7f/5E=")</f>
        <v>#VALUE!</v>
      </c>
      <c r="EQ2" t="e">
        <f>AND(Percentage!Y16,"AAAAAH7f/5I=")</f>
        <v>#VALUE!</v>
      </c>
      <c r="ER2" t="e">
        <f>AND(Percentage!Z16,"AAAAAH7f/5M=")</f>
        <v>#VALUE!</v>
      </c>
      <c r="ES2" t="e">
        <f>AND(Percentage!AA16,"AAAAAH7f/5Q=")</f>
        <v>#VALUE!</v>
      </c>
      <c r="ET2">
        <f>IF(Percentage!17:17,"AAAAAH7f/5U=",0)</f>
        <v>0</v>
      </c>
      <c r="EU2" t="e">
        <f>AND(Percentage!B17,"AAAAAH7f/5Y=")</f>
        <v>#VALUE!</v>
      </c>
      <c r="EV2" t="e">
        <f>AND(Percentage!C17,"AAAAAH7f/5c=")</f>
        <v>#VALUE!</v>
      </c>
      <c r="EW2" t="e">
        <f>AND(Percentage!D17,"AAAAAH7f/5g=")</f>
        <v>#VALUE!</v>
      </c>
      <c r="EX2" t="e">
        <f>AND(Percentage!E17,"AAAAAH7f/5k=")</f>
        <v>#VALUE!</v>
      </c>
      <c r="EY2" t="e">
        <f>AND(Percentage!F17,"AAAAAH7f/5o=")</f>
        <v>#VALUE!</v>
      </c>
      <c r="EZ2" t="b">
        <f>AND(Percentage!G17,"AAAAAH7f/5s=")</f>
        <v>1</v>
      </c>
      <c r="FA2" t="b">
        <f>AND(Percentage!H17,"AAAAAH7f/5w=")</f>
        <v>1</v>
      </c>
      <c r="FB2" t="e">
        <f>AND(Percentage!I17,"AAAAAH7f/50=")</f>
        <v>#VALUE!</v>
      </c>
      <c r="FC2" t="e">
        <f>AND(Percentage!J17,"AAAAAH7f/54=")</f>
        <v>#VALUE!</v>
      </c>
      <c r="FD2" t="e">
        <f>AND(Percentage!K17,"AAAAAH7f/58=")</f>
        <v>#VALUE!</v>
      </c>
      <c r="FE2" t="b">
        <f>AND(Percentage!L17,"AAAAAH7f/6A=")</f>
        <v>0</v>
      </c>
      <c r="FF2" t="b">
        <f>AND(Percentage!M17,"AAAAAH7f/6E=")</f>
        <v>1</v>
      </c>
      <c r="FG2" t="e">
        <f>AND(Percentage!N17,"AAAAAH7f/6I=")</f>
        <v>#VALUE!</v>
      </c>
      <c r="FH2" t="e">
        <f>AND(Percentage!O17,"AAAAAH7f/6M=")</f>
        <v>#VALUE!</v>
      </c>
      <c r="FI2" t="e">
        <f>AND(Percentage!P17,"AAAAAH7f/6Q=")</f>
        <v>#VALUE!</v>
      </c>
      <c r="FJ2" t="e">
        <f>AND(Percentage!Q17,"AAAAAH7f/6U=")</f>
        <v>#VALUE!</v>
      </c>
      <c r="FK2" t="b">
        <f>AND(Percentage!R17,"AAAAAH7f/6Y=")</f>
        <v>0</v>
      </c>
      <c r="FL2" t="e">
        <f>AND(Percentage!S17,"AAAAAH7f/6c=")</f>
        <v>#VALUE!</v>
      </c>
      <c r="FM2" t="e">
        <f>AND(Percentage!T17,"AAAAAH7f/6g=")</f>
        <v>#VALUE!</v>
      </c>
      <c r="FN2" t="e">
        <f>AND(Percentage!U17,"AAAAAH7f/6k=")</f>
        <v>#VALUE!</v>
      </c>
      <c r="FO2" t="e">
        <f>AND(Percentage!V17,"AAAAAH7f/6o=")</f>
        <v>#VALUE!</v>
      </c>
      <c r="FP2" t="e">
        <f>AND(Percentage!W17,"AAAAAH7f/6s=")</f>
        <v>#VALUE!</v>
      </c>
      <c r="FQ2" t="e">
        <f>AND(Percentage!X17,"AAAAAH7f/6w=")</f>
        <v>#VALUE!</v>
      </c>
      <c r="FR2" t="e">
        <f>AND(Percentage!Y17,"AAAAAH7f/60=")</f>
        <v>#VALUE!</v>
      </c>
      <c r="FS2" t="e">
        <f>AND(Percentage!Z17,"AAAAAH7f/64=")</f>
        <v>#VALUE!</v>
      </c>
      <c r="FT2" t="e">
        <f>AND(Percentage!AA17,"AAAAAH7f/68=")</f>
        <v>#VALUE!</v>
      </c>
      <c r="FU2">
        <f>IF(Percentage!18:18,"AAAAAH7f/7A=",0)</f>
        <v>0</v>
      </c>
      <c r="FV2" t="e">
        <f>AND(Percentage!B18,"AAAAAH7f/7E=")</f>
        <v>#VALUE!</v>
      </c>
      <c r="FW2" t="e">
        <f>AND(Percentage!C18,"AAAAAH7f/7I=")</f>
        <v>#VALUE!</v>
      </c>
      <c r="FX2" t="e">
        <f>AND(Percentage!D18,"AAAAAH7f/7M=")</f>
        <v>#VALUE!</v>
      </c>
      <c r="FY2" t="e">
        <f>AND(Percentage!E18,"AAAAAH7f/7Q=")</f>
        <v>#VALUE!</v>
      </c>
      <c r="FZ2" t="e">
        <f>AND(Percentage!F18,"AAAAAH7f/7U=")</f>
        <v>#VALUE!</v>
      </c>
      <c r="GA2" t="b">
        <f>AND(Percentage!G18,"AAAAAH7f/7Y=")</f>
        <v>1</v>
      </c>
      <c r="GB2" t="b">
        <f>AND(Percentage!H18,"AAAAAH7f/7c=")</f>
        <v>1</v>
      </c>
      <c r="GC2" t="e">
        <f>AND(Percentage!I18,"AAAAAH7f/7g=")</f>
        <v>#VALUE!</v>
      </c>
      <c r="GD2" t="e">
        <f>AND(Percentage!J18,"AAAAAH7f/7k=")</f>
        <v>#VALUE!</v>
      </c>
      <c r="GE2" t="e">
        <f>AND(Percentage!K18,"AAAAAH7f/7o=")</f>
        <v>#VALUE!</v>
      </c>
      <c r="GF2" t="e">
        <f>AND(Percentage!L18,"AAAAAH7f/7s=")</f>
        <v>#VALUE!</v>
      </c>
      <c r="GG2" t="b">
        <f>AND(Percentage!M18,"AAAAAH7f/7w=")</f>
        <v>1</v>
      </c>
      <c r="GH2" t="e">
        <f>AND(Percentage!N18,"AAAAAH7f/70=")</f>
        <v>#VALUE!</v>
      </c>
      <c r="GI2" t="e">
        <f>AND(Percentage!O18,"AAAAAH7f/74=")</f>
        <v>#VALUE!</v>
      </c>
      <c r="GJ2" t="e">
        <f>AND(Percentage!P18,"AAAAAH7f/78=")</f>
        <v>#VALUE!</v>
      </c>
      <c r="GK2" t="e">
        <f>AND(Percentage!Q18,"AAAAAH7f/8A=")</f>
        <v>#VALUE!</v>
      </c>
      <c r="GL2" t="b">
        <f>AND(Percentage!R18,"AAAAAH7f/8E=")</f>
        <v>0</v>
      </c>
      <c r="GM2" t="b">
        <f>AND(Percentage!S18,"AAAAAH7f/8I=")</f>
        <v>1</v>
      </c>
      <c r="GN2" t="e">
        <f>AND(Percentage!T18,"AAAAAH7f/8M=")</f>
        <v>#VALUE!</v>
      </c>
      <c r="GO2" t="e">
        <f>AND(Percentage!U18,"AAAAAH7f/8Q=")</f>
        <v>#VALUE!</v>
      </c>
      <c r="GP2" t="e">
        <f>AND(Percentage!V18,"AAAAAH7f/8U=")</f>
        <v>#VALUE!</v>
      </c>
      <c r="GQ2" t="e">
        <f>AND(Percentage!W18,"AAAAAH7f/8Y=")</f>
        <v>#VALUE!</v>
      </c>
      <c r="GR2" t="e">
        <f>AND(Percentage!X18,"AAAAAH7f/8c=")</f>
        <v>#VALUE!</v>
      </c>
      <c r="GS2" t="e">
        <f>AND(Percentage!Y18,"AAAAAH7f/8g=")</f>
        <v>#VALUE!</v>
      </c>
      <c r="GT2" t="e">
        <f>AND(Percentage!Z18,"AAAAAH7f/8k=")</f>
        <v>#VALUE!</v>
      </c>
      <c r="GU2" t="e">
        <f>AND(Percentage!AA18,"AAAAAH7f/8o=")</f>
        <v>#VALUE!</v>
      </c>
      <c r="GV2">
        <f>IF(Percentage!19:19,"AAAAAH7f/8s=",0)</f>
        <v>0</v>
      </c>
      <c r="GW2" t="e">
        <f>AND(Percentage!B19,"AAAAAH7f/8w=")</f>
        <v>#VALUE!</v>
      </c>
      <c r="GX2" t="e">
        <f>AND(Percentage!C19,"AAAAAH7f/80=")</f>
        <v>#VALUE!</v>
      </c>
      <c r="GY2" t="e">
        <f>AND(Percentage!D19,"AAAAAH7f/84=")</f>
        <v>#VALUE!</v>
      </c>
      <c r="GZ2" t="e">
        <f>AND(Percentage!E19,"AAAAAH7f/88=")</f>
        <v>#VALUE!</v>
      </c>
      <c r="HA2" t="e">
        <f>AND(Percentage!F19,"AAAAAH7f/9A=")</f>
        <v>#VALUE!</v>
      </c>
      <c r="HB2" t="b">
        <f>AND(Percentage!G19,"AAAAAH7f/9E=")</f>
        <v>1</v>
      </c>
      <c r="HC2" t="b">
        <f>AND(Percentage!H19,"AAAAAH7f/9I=")</f>
        <v>1</v>
      </c>
      <c r="HD2" t="e">
        <f>AND(Percentage!I19,"AAAAAH7f/9M=")</f>
        <v>#VALUE!</v>
      </c>
      <c r="HE2" t="e">
        <f>AND(Percentage!J19,"AAAAAH7f/9Q=")</f>
        <v>#VALUE!</v>
      </c>
      <c r="HF2" t="e">
        <f>AND(Percentage!K19,"AAAAAH7f/9U=")</f>
        <v>#VALUE!</v>
      </c>
      <c r="HG2" t="e">
        <f>AND(Percentage!L19,"AAAAAH7f/9Y=")</f>
        <v>#VALUE!</v>
      </c>
      <c r="HH2" t="b">
        <f>AND(Percentage!M19,"AAAAAH7f/9c=")</f>
        <v>1</v>
      </c>
      <c r="HI2" t="b">
        <f>AND(Percentage!N19,"AAAAAH7f/9g=")</f>
        <v>0</v>
      </c>
      <c r="HJ2" t="e">
        <f>AND(Percentage!O19,"AAAAAH7f/9k=")</f>
        <v>#VALUE!</v>
      </c>
      <c r="HK2" t="e">
        <f>AND(Percentage!P19,"AAAAAH7f/9o=")</f>
        <v>#VALUE!</v>
      </c>
      <c r="HL2" t="e">
        <f>AND(Percentage!Q19,"AAAAAH7f/9s=")</f>
        <v>#VALUE!</v>
      </c>
      <c r="HM2" t="b">
        <f>AND(Percentage!R19,"AAAAAH7f/9w=")</f>
        <v>0</v>
      </c>
      <c r="HN2" t="e">
        <f>AND(Percentage!S19,"AAAAAH7f/90=")</f>
        <v>#VALUE!</v>
      </c>
      <c r="HO2" t="e">
        <f>AND(Percentage!T19,"AAAAAH7f/94=")</f>
        <v>#VALUE!</v>
      </c>
      <c r="HP2" t="e">
        <f>AND(Percentage!U19,"AAAAAH7f/98=")</f>
        <v>#VALUE!</v>
      </c>
      <c r="HQ2" t="e">
        <f>AND(Percentage!V19,"AAAAAH7f/+A=")</f>
        <v>#VALUE!</v>
      </c>
      <c r="HR2" t="e">
        <f>AND(Percentage!W19,"AAAAAH7f/+E=")</f>
        <v>#VALUE!</v>
      </c>
      <c r="HS2" t="e">
        <f>AND(Percentage!X19,"AAAAAH7f/+I=")</f>
        <v>#VALUE!</v>
      </c>
      <c r="HT2" t="e">
        <f>AND(Percentage!Y19,"AAAAAH7f/+M=")</f>
        <v>#VALUE!</v>
      </c>
      <c r="HU2" t="e">
        <f>AND(Percentage!Z19,"AAAAAH7f/+Q=")</f>
        <v>#VALUE!</v>
      </c>
      <c r="HV2" t="e">
        <f>AND(Percentage!AA19,"AAAAAH7f/+U=")</f>
        <v>#VALUE!</v>
      </c>
      <c r="HW2">
        <f>IF(Percentage!20:20,"AAAAAH7f/+Y=",0)</f>
        <v>0</v>
      </c>
      <c r="HX2" t="e">
        <f>AND(Percentage!B20,"AAAAAH7f/+c=")</f>
        <v>#VALUE!</v>
      </c>
      <c r="HY2" t="e">
        <f>AND(Percentage!C20,"AAAAAH7f/+g=")</f>
        <v>#VALUE!</v>
      </c>
      <c r="HZ2" t="e">
        <f>AND(Percentage!D20,"AAAAAH7f/+k=")</f>
        <v>#VALUE!</v>
      </c>
      <c r="IA2" t="e">
        <f>AND(Percentage!E20,"AAAAAH7f/+o=")</f>
        <v>#VALUE!</v>
      </c>
      <c r="IB2" t="e">
        <f>AND(Percentage!F20,"AAAAAH7f/+s=")</f>
        <v>#VALUE!</v>
      </c>
      <c r="IC2" t="b">
        <f>AND(Percentage!G20,"AAAAAH7f/+w=")</f>
        <v>1</v>
      </c>
      <c r="ID2" t="b">
        <f>AND(Percentage!H20,"AAAAAH7f/+0=")</f>
        <v>1</v>
      </c>
      <c r="IE2" t="e">
        <f>AND(Percentage!I20,"AAAAAH7f/+4=")</f>
        <v>#VALUE!</v>
      </c>
      <c r="IF2" t="e">
        <f>AND(Percentage!J20,"AAAAAH7f/+8=")</f>
        <v>#VALUE!</v>
      </c>
      <c r="IG2" t="e">
        <f>AND(Percentage!K20,"AAAAAH7f//A=")</f>
        <v>#VALUE!</v>
      </c>
      <c r="IH2" t="e">
        <f>AND(Percentage!L20,"AAAAAH7f//E=")</f>
        <v>#VALUE!</v>
      </c>
      <c r="II2" t="b">
        <f>AND(Percentage!M20,"AAAAAH7f//I=")</f>
        <v>0</v>
      </c>
      <c r="IJ2" t="b">
        <f>AND(Percentage!N20,"AAAAAH7f//M=")</f>
        <v>1</v>
      </c>
      <c r="IK2" t="e">
        <f>AND(Percentage!O20,"AAAAAH7f//Q=")</f>
        <v>#VALUE!</v>
      </c>
      <c r="IL2" t="e">
        <f>AND(Percentage!P20,"AAAAAH7f//U=")</f>
        <v>#VALUE!</v>
      </c>
      <c r="IM2" t="e">
        <f>AND(Percentage!Q20,"AAAAAH7f//Y=")</f>
        <v>#VALUE!</v>
      </c>
      <c r="IN2" t="b">
        <f>AND(Percentage!R20,"AAAAAH7f//c=")</f>
        <v>0</v>
      </c>
      <c r="IO2" t="e">
        <f>AND(Percentage!S20,"AAAAAH7f//g=")</f>
        <v>#VALUE!</v>
      </c>
      <c r="IP2" t="e">
        <f>AND(Percentage!T20,"AAAAAH7f//k=")</f>
        <v>#VALUE!</v>
      </c>
      <c r="IQ2" t="e">
        <f>AND(Percentage!U20,"AAAAAH7f//o=")</f>
        <v>#VALUE!</v>
      </c>
      <c r="IR2" t="e">
        <f>AND(Percentage!V20,"AAAAAH7f//s=")</f>
        <v>#VALUE!</v>
      </c>
      <c r="IS2" t="e">
        <f>AND(Percentage!W20,"AAAAAH7f//w=")</f>
        <v>#VALUE!</v>
      </c>
      <c r="IT2" t="e">
        <f>AND(Percentage!X20,"AAAAAH7f//0=")</f>
        <v>#VALUE!</v>
      </c>
      <c r="IU2" t="e">
        <f>AND(Percentage!Y20,"AAAAAH7f//4=")</f>
        <v>#VALUE!</v>
      </c>
      <c r="IV2" t="e">
        <f>AND(Percentage!Z20,"AAAAAH7f//8=")</f>
        <v>#VALUE!</v>
      </c>
    </row>
    <row r="3" spans="1:256" x14ac:dyDescent="0.25">
      <c r="A3" t="e">
        <f>AND(Percentage!AA20,"AAAAAHp39wA=")</f>
        <v>#VALUE!</v>
      </c>
      <c r="B3" t="e">
        <f>IF(Percentage!21:21,"AAAAAHp39wE=",0)</f>
        <v>#VALUE!</v>
      </c>
      <c r="C3" t="e">
        <f>AND(Percentage!B21,"AAAAAHp39wI=")</f>
        <v>#VALUE!</v>
      </c>
      <c r="D3" t="e">
        <f>AND(Percentage!C21,"AAAAAHp39wM=")</f>
        <v>#VALUE!</v>
      </c>
      <c r="E3" t="e">
        <f>AND(Percentage!D21,"AAAAAHp39wQ=")</f>
        <v>#VALUE!</v>
      </c>
      <c r="F3" t="e">
        <f>AND(Percentage!E21,"AAAAAHp39wU=")</f>
        <v>#VALUE!</v>
      </c>
      <c r="G3" t="e">
        <f>AND(Percentage!F21,"AAAAAHp39wY=")</f>
        <v>#VALUE!</v>
      </c>
      <c r="H3" t="b">
        <f>AND(Percentage!G21,"AAAAAHp39wc=")</f>
        <v>1</v>
      </c>
      <c r="I3" t="b">
        <f>AND(Percentage!H21,"AAAAAHp39wg=")</f>
        <v>1</v>
      </c>
      <c r="J3" t="e">
        <f>AND(Percentage!I21,"AAAAAHp39wk=")</f>
        <v>#VALUE!</v>
      </c>
      <c r="K3" t="e">
        <f>AND(Percentage!J21,"AAAAAHp39wo=")</f>
        <v>#VALUE!</v>
      </c>
      <c r="L3" t="e">
        <f>AND(Percentage!K21,"AAAAAHp39ws=")</f>
        <v>#VALUE!</v>
      </c>
      <c r="M3" t="e">
        <f>AND(Percentage!L21,"AAAAAHp39ww=")</f>
        <v>#VALUE!</v>
      </c>
      <c r="N3" t="e">
        <f>AND(Percentage!M21,"AAAAAHp39w0=")</f>
        <v>#VALUE!</v>
      </c>
      <c r="O3" t="b">
        <f>AND(Percentage!N21,"AAAAAHp39w4=")</f>
        <v>1</v>
      </c>
      <c r="P3" t="e">
        <f>AND(Percentage!O21,"AAAAAHp39w8=")</f>
        <v>#VALUE!</v>
      </c>
      <c r="Q3" t="e">
        <f>AND(Percentage!P21,"AAAAAHp39xA=")</f>
        <v>#VALUE!</v>
      </c>
      <c r="R3" t="e">
        <f>AND(Percentage!Q21,"AAAAAHp39xE=")</f>
        <v>#VALUE!</v>
      </c>
      <c r="S3" t="b">
        <f>AND(Percentage!R21,"AAAAAHp39xI=")</f>
        <v>0</v>
      </c>
      <c r="T3" t="b">
        <f>AND(Percentage!S21,"AAAAAHp39xM=")</f>
        <v>1</v>
      </c>
      <c r="U3" t="e">
        <f>AND(Percentage!T21,"AAAAAHp39xQ=")</f>
        <v>#VALUE!</v>
      </c>
      <c r="V3" t="e">
        <f>AND(Percentage!U21,"AAAAAHp39xU=")</f>
        <v>#VALUE!</v>
      </c>
      <c r="W3" t="e">
        <f>AND(Percentage!V21,"AAAAAHp39xY=")</f>
        <v>#VALUE!</v>
      </c>
      <c r="X3" t="e">
        <f>AND(Percentage!W21,"AAAAAHp39xc=")</f>
        <v>#VALUE!</v>
      </c>
      <c r="Y3" t="e">
        <f>AND(Percentage!X21,"AAAAAHp39xg=")</f>
        <v>#VALUE!</v>
      </c>
      <c r="Z3" t="e">
        <f>AND(Percentage!Y21,"AAAAAHp39xk=")</f>
        <v>#VALUE!</v>
      </c>
      <c r="AA3" t="e">
        <f>AND(Percentage!Z21,"AAAAAHp39xo=")</f>
        <v>#VALUE!</v>
      </c>
      <c r="AB3" t="e">
        <f>AND(Percentage!AA21,"AAAAAHp39xs=")</f>
        <v>#VALUE!</v>
      </c>
      <c r="AC3">
        <f>IF(Percentage!22:22,"AAAAAHp39xw=",0)</f>
        <v>0</v>
      </c>
      <c r="AD3" t="e">
        <f>AND(Percentage!B22,"AAAAAHp39x0=")</f>
        <v>#VALUE!</v>
      </c>
      <c r="AE3" t="e">
        <f>AND(Percentage!C22,"AAAAAHp39x4=")</f>
        <v>#VALUE!</v>
      </c>
      <c r="AF3" t="e">
        <f>AND(Percentage!D22,"AAAAAHp39x8=")</f>
        <v>#VALUE!</v>
      </c>
      <c r="AG3" t="e">
        <f>AND(Percentage!E22,"AAAAAHp39yA=")</f>
        <v>#VALUE!</v>
      </c>
      <c r="AH3" t="e">
        <f>AND(Percentage!F22,"AAAAAHp39yE=")</f>
        <v>#VALUE!</v>
      </c>
      <c r="AI3" t="b">
        <f>AND(Percentage!G22,"AAAAAHp39yI=")</f>
        <v>1</v>
      </c>
      <c r="AJ3" t="b">
        <f>AND(Percentage!H22,"AAAAAHp39yM=")</f>
        <v>1</v>
      </c>
      <c r="AK3" t="e">
        <f>AND(Percentage!I22,"AAAAAHp39yQ=")</f>
        <v>#VALUE!</v>
      </c>
      <c r="AL3" t="e">
        <f>AND(Percentage!J22,"AAAAAHp39yU=")</f>
        <v>#VALUE!</v>
      </c>
      <c r="AM3" t="e">
        <f>AND(Percentage!K22,"AAAAAHp39yY=")</f>
        <v>#VALUE!</v>
      </c>
      <c r="AN3" t="e">
        <f>AND(Percentage!L22,"AAAAAHp39yc=")</f>
        <v>#VALUE!</v>
      </c>
      <c r="AO3" t="e">
        <f>AND(Percentage!M22,"AAAAAHp39yg=")</f>
        <v>#VALUE!</v>
      </c>
      <c r="AP3" t="b">
        <f>AND(Percentage!N22,"AAAAAHp39yk=")</f>
        <v>1</v>
      </c>
      <c r="AQ3" t="b">
        <f>AND(Percentage!O22,"AAAAAHp39yo=")</f>
        <v>0</v>
      </c>
      <c r="AR3" t="e">
        <f>AND(Percentage!P22,"AAAAAHp39ys=")</f>
        <v>#VALUE!</v>
      </c>
      <c r="AS3" t="e">
        <f>AND(Percentage!Q22,"AAAAAHp39yw=")</f>
        <v>#VALUE!</v>
      </c>
      <c r="AT3" t="b">
        <f>AND(Percentage!R22,"AAAAAHp39y0=")</f>
        <v>0</v>
      </c>
      <c r="AU3" t="e">
        <f>AND(Percentage!S22,"AAAAAHp39y4=")</f>
        <v>#VALUE!</v>
      </c>
      <c r="AV3" t="e">
        <f>AND(Percentage!T22,"AAAAAHp39y8=")</f>
        <v>#VALUE!</v>
      </c>
      <c r="AW3" t="e">
        <f>AND(Percentage!U22,"AAAAAHp39zA=")</f>
        <v>#VALUE!</v>
      </c>
      <c r="AX3" t="e">
        <f>AND(Percentage!V22,"AAAAAHp39zE=")</f>
        <v>#VALUE!</v>
      </c>
      <c r="AY3" t="e">
        <f>AND(Percentage!W22,"AAAAAHp39zI=")</f>
        <v>#VALUE!</v>
      </c>
      <c r="AZ3" t="e">
        <f>AND(Percentage!X22,"AAAAAHp39zM=")</f>
        <v>#VALUE!</v>
      </c>
      <c r="BA3" t="e">
        <f>AND(Percentage!Y22,"AAAAAHp39zQ=")</f>
        <v>#VALUE!</v>
      </c>
      <c r="BB3" t="e">
        <f>AND(Percentage!Z22,"AAAAAHp39zU=")</f>
        <v>#VALUE!</v>
      </c>
      <c r="BC3" t="e">
        <f>AND(Percentage!AA22,"AAAAAHp39zY=")</f>
        <v>#VALUE!</v>
      </c>
      <c r="BD3">
        <f>IF(Percentage!23:23,"AAAAAHp39zc=",0)</f>
        <v>0</v>
      </c>
      <c r="BE3" t="e">
        <f>AND(Percentage!B23,"AAAAAHp39zg=")</f>
        <v>#VALUE!</v>
      </c>
      <c r="BF3" t="e">
        <f>AND(Percentage!C23,"AAAAAHp39zk=")</f>
        <v>#VALUE!</v>
      </c>
      <c r="BG3" t="e">
        <f>AND(Percentage!D23,"AAAAAHp39zo=")</f>
        <v>#VALUE!</v>
      </c>
      <c r="BH3" t="e">
        <f>AND(Percentage!E23,"AAAAAHp39zs=")</f>
        <v>#VALUE!</v>
      </c>
      <c r="BI3" t="e">
        <f>AND(Percentage!F23,"AAAAAHp39zw=")</f>
        <v>#VALUE!</v>
      </c>
      <c r="BJ3" t="b">
        <f>AND(Percentage!G23,"AAAAAHp39z0=")</f>
        <v>1</v>
      </c>
      <c r="BK3" t="b">
        <f>AND(Percentage!H23,"AAAAAHp39z4=")</f>
        <v>1</v>
      </c>
      <c r="BL3" t="e">
        <f>AND(Percentage!I23,"AAAAAHp39z8=")</f>
        <v>#VALUE!</v>
      </c>
      <c r="BM3" t="e">
        <f>AND(Percentage!J23,"AAAAAHp390A=")</f>
        <v>#VALUE!</v>
      </c>
      <c r="BN3" t="e">
        <f>AND(Percentage!K23,"AAAAAHp390E=")</f>
        <v>#VALUE!</v>
      </c>
      <c r="BO3" t="e">
        <f>AND(Percentage!L23,"AAAAAHp390I=")</f>
        <v>#VALUE!</v>
      </c>
      <c r="BP3" t="e">
        <f>AND(Percentage!M23,"AAAAAHp390M=")</f>
        <v>#VALUE!</v>
      </c>
      <c r="BQ3" t="b">
        <f>AND(Percentage!N23,"AAAAAHp390Q=")</f>
        <v>0</v>
      </c>
      <c r="BR3" t="b">
        <f>AND(Percentage!O23,"AAAAAHp390U=")</f>
        <v>1</v>
      </c>
      <c r="BS3" t="e">
        <f>AND(Percentage!P23,"AAAAAHp390Y=")</f>
        <v>#VALUE!</v>
      </c>
      <c r="BT3" t="e">
        <f>AND(Percentage!Q23,"AAAAAHp390c=")</f>
        <v>#VALUE!</v>
      </c>
      <c r="BU3" t="b">
        <f>AND(Percentage!R23,"AAAAAHp390g=")</f>
        <v>0</v>
      </c>
      <c r="BV3" t="e">
        <f>AND(Percentage!S23,"AAAAAHp390k=")</f>
        <v>#VALUE!</v>
      </c>
      <c r="BW3" t="e">
        <f>AND(Percentage!T23,"AAAAAHp390o=")</f>
        <v>#VALUE!</v>
      </c>
      <c r="BX3" t="e">
        <f>AND(Percentage!U23,"AAAAAHp390s=")</f>
        <v>#VALUE!</v>
      </c>
      <c r="BY3" t="e">
        <f>AND(Percentage!V23,"AAAAAHp390w=")</f>
        <v>#VALUE!</v>
      </c>
      <c r="BZ3" t="e">
        <f>AND(Percentage!W23,"AAAAAHp3900=")</f>
        <v>#VALUE!</v>
      </c>
      <c r="CA3" t="e">
        <f>AND(Percentage!X23,"AAAAAHp3904=")</f>
        <v>#VALUE!</v>
      </c>
      <c r="CB3" t="e">
        <f>AND(Percentage!Y23,"AAAAAHp3908=")</f>
        <v>#VALUE!</v>
      </c>
      <c r="CC3" t="e">
        <f>AND(Percentage!Z23,"AAAAAHp391A=")</f>
        <v>#VALUE!</v>
      </c>
      <c r="CD3" t="e">
        <f>AND(Percentage!AA23,"AAAAAHp391E=")</f>
        <v>#VALUE!</v>
      </c>
      <c r="CE3">
        <f>IF(Percentage!24:24,"AAAAAHp391I=",0)</f>
        <v>0</v>
      </c>
      <c r="CF3" t="e">
        <f>AND(Percentage!B24,"AAAAAHp391M=")</f>
        <v>#VALUE!</v>
      </c>
      <c r="CG3" t="e">
        <f>AND(Percentage!C24,"AAAAAHp391Q=")</f>
        <v>#VALUE!</v>
      </c>
      <c r="CH3" t="e">
        <f>AND(Percentage!D24,"AAAAAHp391U=")</f>
        <v>#VALUE!</v>
      </c>
      <c r="CI3" t="e">
        <f>AND(Percentage!E24,"AAAAAHp391Y=")</f>
        <v>#VALUE!</v>
      </c>
      <c r="CJ3" t="e">
        <f>AND(Percentage!F24,"AAAAAHp391c=")</f>
        <v>#VALUE!</v>
      </c>
      <c r="CK3" t="b">
        <f>AND(Percentage!G24,"AAAAAHp391g=")</f>
        <v>1</v>
      </c>
      <c r="CL3" t="b">
        <f>AND(Percentage!H24,"AAAAAHp391k=")</f>
        <v>1</v>
      </c>
      <c r="CM3" t="e">
        <f>AND(Percentage!I24,"AAAAAHp391o=")</f>
        <v>#VALUE!</v>
      </c>
      <c r="CN3" t="e">
        <f>AND(Percentage!J24,"AAAAAHp391s=")</f>
        <v>#VALUE!</v>
      </c>
      <c r="CO3" t="e">
        <f>AND(Percentage!K24,"AAAAAHp391w=")</f>
        <v>#VALUE!</v>
      </c>
      <c r="CP3" t="e">
        <f>AND(Percentage!L24,"AAAAAHp3910=")</f>
        <v>#VALUE!</v>
      </c>
      <c r="CQ3" t="e">
        <f>AND(Percentage!M24,"AAAAAHp3914=")</f>
        <v>#VALUE!</v>
      </c>
      <c r="CR3" t="e">
        <f>AND(Percentage!N24,"AAAAAHp3918=")</f>
        <v>#VALUE!</v>
      </c>
      <c r="CS3" t="b">
        <f>AND(Percentage!O24,"AAAAAHp392A=")</f>
        <v>1</v>
      </c>
      <c r="CT3" t="e">
        <f>AND(Percentage!P24,"AAAAAHp392E=")</f>
        <v>#VALUE!</v>
      </c>
      <c r="CU3" t="e">
        <f>AND(Percentage!Q24,"AAAAAHp392I=")</f>
        <v>#VALUE!</v>
      </c>
      <c r="CV3" t="b">
        <f>AND(Percentage!R24,"AAAAAHp392M=")</f>
        <v>0</v>
      </c>
      <c r="CW3" t="b">
        <f>AND(Percentage!S24,"AAAAAHp392Q=")</f>
        <v>1</v>
      </c>
      <c r="CX3" t="e">
        <f>AND(Percentage!T24,"AAAAAHp392U=")</f>
        <v>#VALUE!</v>
      </c>
      <c r="CY3" t="e">
        <f>AND(Percentage!U24,"AAAAAHp392Y=")</f>
        <v>#VALUE!</v>
      </c>
      <c r="CZ3" t="e">
        <f>AND(Percentage!V24,"AAAAAHp392c=")</f>
        <v>#VALUE!</v>
      </c>
      <c r="DA3" t="e">
        <f>AND(Percentage!W24,"AAAAAHp392g=")</f>
        <v>#VALUE!</v>
      </c>
      <c r="DB3" t="e">
        <f>AND(Percentage!X24,"AAAAAHp392k=")</f>
        <v>#VALUE!</v>
      </c>
      <c r="DC3" t="e">
        <f>AND(Percentage!Y24,"AAAAAHp392o=")</f>
        <v>#VALUE!</v>
      </c>
      <c r="DD3" t="e">
        <f>AND(Percentage!Z24,"AAAAAHp392s=")</f>
        <v>#VALUE!</v>
      </c>
      <c r="DE3" t="e">
        <f>AND(Percentage!AA24,"AAAAAHp392w=")</f>
        <v>#VALUE!</v>
      </c>
      <c r="DF3">
        <f>IF(Percentage!25:25,"AAAAAHp3920=",0)</f>
        <v>0</v>
      </c>
      <c r="DG3" t="e">
        <f>AND(Percentage!B25,"AAAAAHp3924=")</f>
        <v>#VALUE!</v>
      </c>
      <c r="DH3" t="e">
        <f>AND(Percentage!C25,"AAAAAHp3928=")</f>
        <v>#VALUE!</v>
      </c>
      <c r="DI3" t="e">
        <f>AND(Percentage!D25,"AAAAAHp393A=")</f>
        <v>#VALUE!</v>
      </c>
      <c r="DJ3" t="e">
        <f>AND(Percentage!E25,"AAAAAHp393E=")</f>
        <v>#VALUE!</v>
      </c>
      <c r="DK3" t="e">
        <f>AND(Percentage!F25,"AAAAAHp393I=")</f>
        <v>#VALUE!</v>
      </c>
      <c r="DL3" t="b">
        <f>AND(Percentage!G25,"AAAAAHp393M=")</f>
        <v>1</v>
      </c>
      <c r="DM3" t="b">
        <f>AND(Percentage!H25,"AAAAAHp393Q=")</f>
        <v>1</v>
      </c>
      <c r="DN3" t="e">
        <f>AND(Percentage!I25,"AAAAAHp393U=")</f>
        <v>#VALUE!</v>
      </c>
      <c r="DO3" t="e">
        <f>AND(Percentage!J25,"AAAAAHp393Y=")</f>
        <v>#VALUE!</v>
      </c>
      <c r="DP3" t="e">
        <f>AND(Percentage!K25,"AAAAAHp393c=")</f>
        <v>#VALUE!</v>
      </c>
      <c r="DQ3" t="e">
        <f>AND(Percentage!L25,"AAAAAHp393g=")</f>
        <v>#VALUE!</v>
      </c>
      <c r="DR3" t="e">
        <f>AND(Percentage!M25,"AAAAAHp393k=")</f>
        <v>#VALUE!</v>
      </c>
      <c r="DS3" t="e">
        <f>AND(Percentage!N25,"AAAAAHp393o=")</f>
        <v>#VALUE!</v>
      </c>
      <c r="DT3" t="b">
        <f>AND(Percentage!O25,"AAAAAHp393s=")</f>
        <v>1</v>
      </c>
      <c r="DU3" t="b">
        <f>AND(Percentage!P25,"AAAAAHp393w=")</f>
        <v>0</v>
      </c>
      <c r="DV3" t="e">
        <f>AND(Percentage!Q25,"AAAAAHp3930=")</f>
        <v>#VALUE!</v>
      </c>
      <c r="DW3" t="b">
        <f>AND(Percentage!R25,"AAAAAHp3934=")</f>
        <v>0</v>
      </c>
      <c r="DX3" t="e">
        <f>AND(Percentage!S25,"AAAAAHp3938=")</f>
        <v>#VALUE!</v>
      </c>
      <c r="DY3" t="e">
        <f>AND(Percentage!T25,"AAAAAHp394A=")</f>
        <v>#VALUE!</v>
      </c>
      <c r="DZ3" t="e">
        <f>AND(Percentage!U25,"AAAAAHp394E=")</f>
        <v>#VALUE!</v>
      </c>
      <c r="EA3" t="e">
        <f>AND(Percentage!V25,"AAAAAHp394I=")</f>
        <v>#VALUE!</v>
      </c>
      <c r="EB3" t="e">
        <f>AND(Percentage!W25,"AAAAAHp394M=")</f>
        <v>#VALUE!</v>
      </c>
      <c r="EC3" t="e">
        <f>AND(Percentage!X25,"AAAAAHp394Q=")</f>
        <v>#VALUE!</v>
      </c>
      <c r="ED3" t="e">
        <f>AND(Percentage!Y25,"AAAAAHp394U=")</f>
        <v>#VALUE!</v>
      </c>
      <c r="EE3" t="e">
        <f>AND(Percentage!Z25,"AAAAAHp394Y=")</f>
        <v>#VALUE!</v>
      </c>
      <c r="EF3" t="e">
        <f>AND(Percentage!AA25,"AAAAAHp394c=")</f>
        <v>#VALUE!</v>
      </c>
      <c r="EG3">
        <f>IF(Percentage!26:26,"AAAAAHp394g=",0)</f>
        <v>0</v>
      </c>
      <c r="EH3" t="e">
        <f>AND(Percentage!B26,"AAAAAHp394k=")</f>
        <v>#VALUE!</v>
      </c>
      <c r="EI3" t="e">
        <f>AND(Percentage!C26,"AAAAAHp394o=")</f>
        <v>#VALUE!</v>
      </c>
      <c r="EJ3" t="e">
        <f>AND(Percentage!D26,"AAAAAHp394s=")</f>
        <v>#VALUE!</v>
      </c>
      <c r="EK3" t="e">
        <f>AND(Percentage!E26,"AAAAAHp394w=")</f>
        <v>#VALUE!</v>
      </c>
      <c r="EL3" t="e">
        <f>AND(Percentage!F26,"AAAAAHp3940=")</f>
        <v>#VALUE!</v>
      </c>
      <c r="EM3" t="b">
        <f>AND(Percentage!G26,"AAAAAHp3944=")</f>
        <v>1</v>
      </c>
      <c r="EN3" t="b">
        <f>AND(Percentage!H26,"AAAAAHp3948=")</f>
        <v>1</v>
      </c>
      <c r="EO3" t="e">
        <f>AND(Percentage!I26,"AAAAAHp395A=")</f>
        <v>#VALUE!</v>
      </c>
      <c r="EP3" t="e">
        <f>AND(Percentage!J26,"AAAAAHp395E=")</f>
        <v>#VALUE!</v>
      </c>
      <c r="EQ3" t="e">
        <f>AND(Percentage!K26,"AAAAAHp395I=")</f>
        <v>#VALUE!</v>
      </c>
      <c r="ER3" t="e">
        <f>AND(Percentage!L26,"AAAAAHp395M=")</f>
        <v>#VALUE!</v>
      </c>
      <c r="ES3" t="e">
        <f>AND(Percentage!M26,"AAAAAHp395Q=")</f>
        <v>#VALUE!</v>
      </c>
      <c r="ET3" t="e">
        <f>AND(Percentage!N26,"AAAAAHp395U=")</f>
        <v>#VALUE!</v>
      </c>
      <c r="EU3" t="b">
        <f>AND(Percentage!O26,"AAAAAHp395Y=")</f>
        <v>0</v>
      </c>
      <c r="EV3" t="b">
        <f>AND(Percentage!P26,"AAAAAHp395c=")</f>
        <v>1</v>
      </c>
      <c r="EW3" t="e">
        <f>AND(Percentage!Q26,"AAAAAHp395g=")</f>
        <v>#VALUE!</v>
      </c>
      <c r="EX3" t="b">
        <f>AND(Percentage!R26,"AAAAAHp395k=")</f>
        <v>0</v>
      </c>
      <c r="EY3" t="e">
        <f>AND(Percentage!S26,"AAAAAHp395o=")</f>
        <v>#VALUE!</v>
      </c>
      <c r="EZ3" t="e">
        <f>AND(Percentage!T26,"AAAAAHp395s=")</f>
        <v>#VALUE!</v>
      </c>
      <c r="FA3" t="e">
        <f>AND(Percentage!U26,"AAAAAHp395w=")</f>
        <v>#VALUE!</v>
      </c>
      <c r="FB3" t="e">
        <f>AND(Percentage!V26,"AAAAAHp3950=")</f>
        <v>#VALUE!</v>
      </c>
      <c r="FC3" t="e">
        <f>AND(Percentage!W26,"AAAAAHp3954=")</f>
        <v>#VALUE!</v>
      </c>
      <c r="FD3" t="e">
        <f>AND(Percentage!X26,"AAAAAHp3958=")</f>
        <v>#VALUE!</v>
      </c>
      <c r="FE3" t="e">
        <f>AND(Percentage!Y26,"AAAAAHp396A=")</f>
        <v>#VALUE!</v>
      </c>
      <c r="FF3" t="e">
        <f>AND(Percentage!Z26,"AAAAAHp396E=")</f>
        <v>#VALUE!</v>
      </c>
      <c r="FG3" t="e">
        <f>AND(Percentage!AA26,"AAAAAHp396I=")</f>
        <v>#VALUE!</v>
      </c>
      <c r="FH3">
        <f>IF(Percentage!27:27,"AAAAAHp396M=",0)</f>
        <v>0</v>
      </c>
      <c r="FI3" t="e">
        <f>AND(Percentage!B27,"AAAAAHp396Q=")</f>
        <v>#VALUE!</v>
      </c>
      <c r="FJ3" t="e">
        <f>AND(Percentage!C27,"AAAAAHp396U=")</f>
        <v>#VALUE!</v>
      </c>
      <c r="FK3" t="e">
        <f>AND(Percentage!D27,"AAAAAHp396Y=")</f>
        <v>#VALUE!</v>
      </c>
      <c r="FL3" t="e">
        <f>AND(Percentage!E27,"AAAAAHp396c=")</f>
        <v>#VALUE!</v>
      </c>
      <c r="FM3" t="e">
        <f>AND(Percentage!F27,"AAAAAHp396g=")</f>
        <v>#VALUE!</v>
      </c>
      <c r="FN3" t="b">
        <f>AND(Percentage!G27,"AAAAAHp396k=")</f>
        <v>1</v>
      </c>
      <c r="FO3" t="b">
        <f>AND(Percentage!H27,"AAAAAHp396o=")</f>
        <v>1</v>
      </c>
      <c r="FP3" t="e">
        <f>AND(Percentage!I27,"AAAAAHp396s=")</f>
        <v>#VALUE!</v>
      </c>
      <c r="FQ3" t="e">
        <f>AND(Percentage!J27,"AAAAAHp396w=")</f>
        <v>#VALUE!</v>
      </c>
      <c r="FR3" t="e">
        <f>AND(Percentage!K27,"AAAAAHp3960=")</f>
        <v>#VALUE!</v>
      </c>
      <c r="FS3" t="e">
        <f>AND(Percentage!L27,"AAAAAHp3964=")</f>
        <v>#VALUE!</v>
      </c>
      <c r="FT3" t="e">
        <f>AND(Percentage!M27,"AAAAAHp3968=")</f>
        <v>#VALUE!</v>
      </c>
      <c r="FU3" t="e">
        <f>AND(Percentage!N27,"AAAAAHp397A=")</f>
        <v>#VALUE!</v>
      </c>
      <c r="FV3" t="e">
        <f>AND(Percentage!O27,"AAAAAHp397E=")</f>
        <v>#VALUE!</v>
      </c>
      <c r="FW3" t="b">
        <f>AND(Percentage!P27,"AAAAAHp397I=")</f>
        <v>1</v>
      </c>
      <c r="FX3" t="e">
        <f>AND(Percentage!Q27,"AAAAAHp397M=")</f>
        <v>#VALUE!</v>
      </c>
      <c r="FY3" t="b">
        <f>AND(Percentage!R27,"AAAAAHp397Q=")</f>
        <v>0</v>
      </c>
      <c r="FZ3" t="b">
        <f>AND(Percentage!S27,"AAAAAHp397U=")</f>
        <v>1</v>
      </c>
      <c r="GA3" t="e">
        <f>AND(Percentage!T27,"AAAAAHp397Y=")</f>
        <v>#VALUE!</v>
      </c>
      <c r="GB3" t="e">
        <f>AND(Percentage!U27,"AAAAAHp397c=")</f>
        <v>#VALUE!</v>
      </c>
      <c r="GC3" t="e">
        <f>AND(Percentage!V27,"AAAAAHp397g=")</f>
        <v>#VALUE!</v>
      </c>
      <c r="GD3" t="e">
        <f>AND(Percentage!W27,"AAAAAHp397k=")</f>
        <v>#VALUE!</v>
      </c>
      <c r="GE3" t="e">
        <f>AND(Percentage!X27,"AAAAAHp397o=")</f>
        <v>#VALUE!</v>
      </c>
      <c r="GF3" t="e">
        <f>AND(Percentage!Y27,"AAAAAHp397s=")</f>
        <v>#VALUE!</v>
      </c>
      <c r="GG3" t="e">
        <f>AND(Percentage!Z27,"AAAAAHp397w=")</f>
        <v>#VALUE!</v>
      </c>
      <c r="GH3" t="e">
        <f>AND(Percentage!AA27,"AAAAAHp3970=")</f>
        <v>#VALUE!</v>
      </c>
      <c r="GI3">
        <f>IF(Percentage!28:28,"AAAAAHp3974=",0)</f>
        <v>0</v>
      </c>
      <c r="GJ3" t="e">
        <f>AND(Percentage!B28,"AAAAAHp3978=")</f>
        <v>#VALUE!</v>
      </c>
      <c r="GK3" t="e">
        <f>AND(Percentage!C28,"AAAAAHp398A=")</f>
        <v>#VALUE!</v>
      </c>
      <c r="GL3" t="e">
        <f>AND(Percentage!D28,"AAAAAHp398E=")</f>
        <v>#VALUE!</v>
      </c>
      <c r="GM3" t="e">
        <f>AND(Percentage!E28,"AAAAAHp398I=")</f>
        <v>#VALUE!</v>
      </c>
      <c r="GN3" t="e">
        <f>AND(Percentage!F28,"AAAAAHp398M=")</f>
        <v>#VALUE!</v>
      </c>
      <c r="GO3" t="b">
        <f>AND(Percentage!G28,"AAAAAHp398Q=")</f>
        <v>1</v>
      </c>
      <c r="GP3" t="b">
        <f>AND(Percentage!H28,"AAAAAHp398U=")</f>
        <v>1</v>
      </c>
      <c r="GQ3" t="e">
        <f>AND(Percentage!I28,"AAAAAHp398Y=")</f>
        <v>#VALUE!</v>
      </c>
      <c r="GR3" t="e">
        <f>AND(Percentage!J28,"AAAAAHp398c=")</f>
        <v>#VALUE!</v>
      </c>
      <c r="GS3" t="e">
        <f>AND(Percentage!K28,"AAAAAHp398g=")</f>
        <v>#VALUE!</v>
      </c>
      <c r="GT3" t="e">
        <f>AND(Percentage!L28,"AAAAAHp398k=")</f>
        <v>#VALUE!</v>
      </c>
      <c r="GU3" t="e">
        <f>AND(Percentage!M28,"AAAAAHp398o=")</f>
        <v>#VALUE!</v>
      </c>
      <c r="GV3" t="e">
        <f>AND(Percentage!N28,"AAAAAHp398s=")</f>
        <v>#VALUE!</v>
      </c>
      <c r="GW3" t="e">
        <f>AND(Percentage!O28,"AAAAAHp398w=")</f>
        <v>#VALUE!</v>
      </c>
      <c r="GX3" t="b">
        <f>AND(Percentage!P28,"AAAAAHp3980=")</f>
        <v>1</v>
      </c>
      <c r="GY3" t="b">
        <f>AND(Percentage!Q28,"AAAAAHp3984=")</f>
        <v>0</v>
      </c>
      <c r="GZ3" t="b">
        <f>AND(Percentage!R28,"AAAAAHp3988=")</f>
        <v>0</v>
      </c>
      <c r="HA3" t="e">
        <f>AND(Percentage!S28,"AAAAAHp399A=")</f>
        <v>#VALUE!</v>
      </c>
      <c r="HB3" t="e">
        <f>AND(Percentage!T28,"AAAAAHp399E=")</f>
        <v>#VALUE!</v>
      </c>
      <c r="HC3" t="e">
        <f>AND(Percentage!U28,"AAAAAHp399I=")</f>
        <v>#VALUE!</v>
      </c>
      <c r="HD3" t="e">
        <f>AND(Percentage!V28,"AAAAAHp399M=")</f>
        <v>#VALUE!</v>
      </c>
      <c r="HE3" t="e">
        <f>AND(Percentage!W28,"AAAAAHp399Q=")</f>
        <v>#VALUE!</v>
      </c>
      <c r="HF3" t="e">
        <f>AND(Percentage!X28,"AAAAAHp399U=")</f>
        <v>#VALUE!</v>
      </c>
      <c r="HG3" t="e">
        <f>AND(Percentage!Y28,"AAAAAHp399Y=")</f>
        <v>#VALUE!</v>
      </c>
      <c r="HH3" t="e">
        <f>AND(Percentage!Z28,"AAAAAHp399c=")</f>
        <v>#VALUE!</v>
      </c>
      <c r="HI3" t="e">
        <f>AND(Percentage!AA28,"AAAAAHp399g=")</f>
        <v>#VALUE!</v>
      </c>
      <c r="HJ3">
        <f>IF(Percentage!29:29,"AAAAAHp399k=",0)</f>
        <v>0</v>
      </c>
      <c r="HK3" t="e">
        <f>AND(Percentage!B29,"AAAAAHp399o=")</f>
        <v>#VALUE!</v>
      </c>
      <c r="HL3" t="e">
        <f>AND(Percentage!C29,"AAAAAHp399s=")</f>
        <v>#VALUE!</v>
      </c>
      <c r="HM3" t="e">
        <f>AND(Percentage!D29,"AAAAAHp399w=")</f>
        <v>#VALUE!</v>
      </c>
      <c r="HN3" t="e">
        <f>AND(Percentage!E29,"AAAAAHp3990=")</f>
        <v>#VALUE!</v>
      </c>
      <c r="HO3" t="e">
        <f>AND(Percentage!F29,"AAAAAHp3994=")</f>
        <v>#VALUE!</v>
      </c>
      <c r="HP3" t="b">
        <f>AND(Percentage!G29,"AAAAAHp3998=")</f>
        <v>1</v>
      </c>
      <c r="HQ3" t="b">
        <f>AND(Percentage!H29,"AAAAAHp39+A=")</f>
        <v>1</v>
      </c>
      <c r="HR3" t="e">
        <f>AND(Percentage!I29,"AAAAAHp39+E=")</f>
        <v>#VALUE!</v>
      </c>
      <c r="HS3" t="e">
        <f>AND(Percentage!J29,"AAAAAHp39+I=")</f>
        <v>#VALUE!</v>
      </c>
      <c r="HT3" t="e">
        <f>AND(Percentage!K29,"AAAAAHp39+M=")</f>
        <v>#VALUE!</v>
      </c>
      <c r="HU3" t="e">
        <f>AND(Percentage!L29,"AAAAAHp39+Q=")</f>
        <v>#VALUE!</v>
      </c>
      <c r="HV3" t="e">
        <f>AND(Percentage!M29,"AAAAAHp39+U=")</f>
        <v>#VALUE!</v>
      </c>
      <c r="HW3" t="e">
        <f>AND(Percentage!N29,"AAAAAHp39+Y=")</f>
        <v>#VALUE!</v>
      </c>
      <c r="HX3" t="e">
        <f>AND(Percentage!O29,"AAAAAHp39+c=")</f>
        <v>#VALUE!</v>
      </c>
      <c r="HY3" t="b">
        <f>AND(Percentage!P29,"AAAAAHp39+g=")</f>
        <v>0</v>
      </c>
      <c r="HZ3" t="b">
        <f>AND(Percentage!Q29,"AAAAAHp39+k=")</f>
        <v>1</v>
      </c>
      <c r="IA3" t="b">
        <f>AND(Percentage!R29,"AAAAAHp39+o=")</f>
        <v>0</v>
      </c>
      <c r="IB3" t="e">
        <f>AND(Percentage!S29,"AAAAAHp39+s=")</f>
        <v>#VALUE!</v>
      </c>
      <c r="IC3" t="e">
        <f>AND(Percentage!T29,"AAAAAHp39+w=")</f>
        <v>#VALUE!</v>
      </c>
      <c r="ID3" t="e">
        <f>AND(Percentage!U29,"AAAAAHp39+0=")</f>
        <v>#VALUE!</v>
      </c>
      <c r="IE3" t="e">
        <f>AND(Percentage!V29,"AAAAAHp39+4=")</f>
        <v>#VALUE!</v>
      </c>
      <c r="IF3" t="e">
        <f>AND(Percentage!W29,"AAAAAHp39+8=")</f>
        <v>#VALUE!</v>
      </c>
      <c r="IG3" t="e">
        <f>AND(Percentage!X29,"AAAAAHp39/A=")</f>
        <v>#VALUE!</v>
      </c>
      <c r="IH3" t="e">
        <f>AND(Percentage!Y29,"AAAAAHp39/E=")</f>
        <v>#VALUE!</v>
      </c>
      <c r="II3" t="e">
        <f>AND(Percentage!Z29,"AAAAAHp39/I=")</f>
        <v>#VALUE!</v>
      </c>
      <c r="IJ3" t="e">
        <f>AND(Percentage!AA29,"AAAAAHp39/M=")</f>
        <v>#VALUE!</v>
      </c>
      <c r="IK3">
        <f>IF(Percentage!30:30,"AAAAAHp39/Q=",0)</f>
        <v>0</v>
      </c>
      <c r="IL3" t="e">
        <f>AND(Percentage!B30,"AAAAAHp39/U=")</f>
        <v>#VALUE!</v>
      </c>
      <c r="IM3" t="e">
        <f>AND(Percentage!C30,"AAAAAHp39/Y=")</f>
        <v>#VALUE!</v>
      </c>
      <c r="IN3" t="e">
        <f>AND(Percentage!D30,"AAAAAHp39/c=")</f>
        <v>#VALUE!</v>
      </c>
      <c r="IO3" t="e">
        <f>AND(Percentage!E30,"AAAAAHp39/g=")</f>
        <v>#VALUE!</v>
      </c>
      <c r="IP3" t="e">
        <f>AND(Percentage!F30,"AAAAAHp39/k=")</f>
        <v>#VALUE!</v>
      </c>
      <c r="IQ3" t="b">
        <f>AND(Percentage!G30,"AAAAAHp39/o=")</f>
        <v>1</v>
      </c>
      <c r="IR3" t="b">
        <f>AND(Percentage!H30,"AAAAAHp39/s=")</f>
        <v>1</v>
      </c>
      <c r="IS3" t="e">
        <f>AND(Percentage!I30,"AAAAAHp39/w=")</f>
        <v>#VALUE!</v>
      </c>
      <c r="IT3" t="e">
        <f>AND(Percentage!J30,"AAAAAHp39/0=")</f>
        <v>#VALUE!</v>
      </c>
      <c r="IU3" t="e">
        <f>AND(Percentage!K30,"AAAAAHp39/4=")</f>
        <v>#VALUE!</v>
      </c>
      <c r="IV3" t="e">
        <f>AND(Percentage!L30,"AAAAAHp39/8=")</f>
        <v>#VALUE!</v>
      </c>
    </row>
    <row r="4" spans="1:256" x14ac:dyDescent="0.25">
      <c r="A4" t="e">
        <f>AND(Percentage!M30,"AAAAAG/9fgA=")</f>
        <v>#VALUE!</v>
      </c>
      <c r="B4" t="e">
        <f>AND(Percentage!N30,"AAAAAG/9fgE=")</f>
        <v>#VALUE!</v>
      </c>
      <c r="C4" t="e">
        <f>AND(Percentage!O30,"AAAAAG/9fgI=")</f>
        <v>#VALUE!</v>
      </c>
      <c r="D4" t="e">
        <f>AND(Percentage!P30,"AAAAAG/9fgM=")</f>
        <v>#VALUE!</v>
      </c>
      <c r="E4" t="b">
        <f>AND(Percentage!Q30,"AAAAAG/9fgQ=")</f>
        <v>1</v>
      </c>
      <c r="F4" t="b">
        <f>AND(Percentage!R30,"AAAAAG/9fgU=")</f>
        <v>0</v>
      </c>
      <c r="G4" t="b">
        <f>AND(Percentage!S30,"AAAAAG/9fgY=")</f>
        <v>1</v>
      </c>
      <c r="H4" t="e">
        <f>AND(Percentage!T30,"AAAAAG/9fgc=")</f>
        <v>#VALUE!</v>
      </c>
      <c r="I4" t="e">
        <f>AND(Percentage!U30,"AAAAAG/9fgg=")</f>
        <v>#VALUE!</v>
      </c>
      <c r="J4" t="e">
        <f>AND(Percentage!V30,"AAAAAG/9fgk=")</f>
        <v>#VALUE!</v>
      </c>
      <c r="K4" t="e">
        <f>AND(Percentage!W30,"AAAAAG/9fgo=")</f>
        <v>#VALUE!</v>
      </c>
      <c r="L4" t="e">
        <f>AND(Percentage!X30,"AAAAAG/9fgs=")</f>
        <v>#VALUE!</v>
      </c>
      <c r="M4" t="e">
        <f>AND(Percentage!Y30,"AAAAAG/9fgw=")</f>
        <v>#VALUE!</v>
      </c>
      <c r="N4" t="e">
        <f>AND(Percentage!Z30,"AAAAAG/9fg0=")</f>
        <v>#VALUE!</v>
      </c>
      <c r="O4" t="e">
        <f>AND(Percentage!AA30,"AAAAAG/9fg4=")</f>
        <v>#VALUE!</v>
      </c>
      <c r="P4">
        <f>IF(Percentage!31:31,"AAAAAG/9fg8=",0)</f>
        <v>0</v>
      </c>
      <c r="Q4" t="e">
        <f>AND(Percentage!B31,"AAAAAG/9fhA=")</f>
        <v>#VALUE!</v>
      </c>
      <c r="R4" t="e">
        <f>AND(Percentage!C31,"AAAAAG/9fhE=")</f>
        <v>#VALUE!</v>
      </c>
      <c r="S4" t="e">
        <f>AND(Percentage!D31,"AAAAAG/9fhI=")</f>
        <v>#VALUE!</v>
      </c>
      <c r="T4" t="e">
        <f>AND(Percentage!E31,"AAAAAG/9fhM=")</f>
        <v>#VALUE!</v>
      </c>
      <c r="U4" t="e">
        <f>AND(Percentage!F31,"AAAAAG/9fhQ=")</f>
        <v>#VALUE!</v>
      </c>
      <c r="V4" t="b">
        <f>AND(Percentage!G31,"AAAAAG/9fhU=")</f>
        <v>1</v>
      </c>
      <c r="W4" t="b">
        <f>AND(Percentage!H31,"AAAAAG/9fhY=")</f>
        <v>1</v>
      </c>
      <c r="X4" t="e">
        <f>AND(Percentage!I31,"AAAAAG/9fhc=")</f>
        <v>#VALUE!</v>
      </c>
      <c r="Y4" t="e">
        <f>AND(Percentage!J31,"AAAAAG/9fhg=")</f>
        <v>#VALUE!</v>
      </c>
      <c r="Z4" t="e">
        <f>AND(Percentage!K31,"AAAAAG/9fhk=")</f>
        <v>#VALUE!</v>
      </c>
      <c r="AA4" t="e">
        <f>AND(Percentage!L31,"AAAAAG/9fho=")</f>
        <v>#VALUE!</v>
      </c>
      <c r="AB4" t="e">
        <f>AND(Percentage!M31,"AAAAAG/9fhs=")</f>
        <v>#VALUE!</v>
      </c>
      <c r="AC4" t="e">
        <f>AND(Percentage!N31,"AAAAAG/9fhw=")</f>
        <v>#VALUE!</v>
      </c>
      <c r="AD4" t="e">
        <f>AND(Percentage!O31,"AAAAAG/9fh0=")</f>
        <v>#VALUE!</v>
      </c>
      <c r="AE4" t="e">
        <f>AND(Percentage!P31,"AAAAAG/9fh4=")</f>
        <v>#VALUE!</v>
      </c>
      <c r="AF4" t="b">
        <f>AND(Percentage!Q31,"AAAAAG/9fh8=")</f>
        <v>1</v>
      </c>
      <c r="AG4" t="b">
        <f>AND(Percentage!R31,"AAAAAG/9fiA=")</f>
        <v>0</v>
      </c>
      <c r="AH4" t="e">
        <f>AND(Percentage!S31,"AAAAAG/9fiE=")</f>
        <v>#VALUE!</v>
      </c>
      <c r="AI4" t="e">
        <f>AND(Percentage!T31,"AAAAAG/9fiI=")</f>
        <v>#VALUE!</v>
      </c>
      <c r="AJ4" t="e">
        <f>AND(Percentage!U31,"AAAAAG/9fiM=")</f>
        <v>#VALUE!</v>
      </c>
      <c r="AK4" t="e">
        <f>AND(Percentage!V31,"AAAAAG/9fiQ=")</f>
        <v>#VALUE!</v>
      </c>
      <c r="AL4" t="e">
        <f>AND(Percentage!W31,"AAAAAG/9fiU=")</f>
        <v>#VALUE!</v>
      </c>
      <c r="AM4" t="e">
        <f>AND(Percentage!X31,"AAAAAG/9fiY=")</f>
        <v>#VALUE!</v>
      </c>
      <c r="AN4" t="e">
        <f>AND(Percentage!Y31,"AAAAAG/9fic=")</f>
        <v>#VALUE!</v>
      </c>
      <c r="AO4" t="e">
        <f>AND(Percentage!Z31,"AAAAAG/9fig=")</f>
        <v>#VALUE!</v>
      </c>
      <c r="AP4" t="e">
        <f>AND(Percentage!AA31,"AAAAAG/9fik=")</f>
        <v>#VALUE!</v>
      </c>
      <c r="AQ4">
        <f>IF(Percentage!32:32,"AAAAAG/9fio=",0)</f>
        <v>0</v>
      </c>
      <c r="AR4" t="e">
        <f>AND(Percentage!B32,"AAAAAG/9fis=")</f>
        <v>#VALUE!</v>
      </c>
      <c r="AS4" t="e">
        <f>AND(Percentage!C32,"AAAAAG/9fiw=")</f>
        <v>#VALUE!</v>
      </c>
      <c r="AT4" t="e">
        <f>AND(Percentage!D32,"AAAAAG/9fi0=")</f>
        <v>#VALUE!</v>
      </c>
      <c r="AU4" t="e">
        <f>AND(Percentage!E32,"AAAAAG/9fi4=")</f>
        <v>#VALUE!</v>
      </c>
      <c r="AV4" t="e">
        <f>AND(Percentage!F32,"AAAAAG/9fi8=")</f>
        <v>#VALUE!</v>
      </c>
      <c r="AW4" t="b">
        <f>AND(Percentage!G32,"AAAAAG/9fjA=")</f>
        <v>1</v>
      </c>
      <c r="AX4" t="b">
        <f>AND(Percentage!H32,"AAAAAG/9fjE=")</f>
        <v>1</v>
      </c>
      <c r="AY4" t="e">
        <f>AND(Percentage!I32,"AAAAAG/9fjI=")</f>
        <v>#VALUE!</v>
      </c>
      <c r="AZ4" t="e">
        <f>AND(Percentage!J32,"AAAAAG/9fjM=")</f>
        <v>#VALUE!</v>
      </c>
      <c r="BA4" t="e">
        <f>AND(Percentage!K32,"AAAAAG/9fjQ=")</f>
        <v>#VALUE!</v>
      </c>
      <c r="BB4" t="e">
        <f>AND(Percentage!L32,"AAAAAG/9fjU=")</f>
        <v>#VALUE!</v>
      </c>
      <c r="BC4" t="e">
        <f>AND(Percentage!M32,"AAAAAG/9fjY=")</f>
        <v>#VALUE!</v>
      </c>
      <c r="BD4" t="e">
        <f>AND(Percentage!N32,"AAAAAG/9fjc=")</f>
        <v>#VALUE!</v>
      </c>
      <c r="BE4" t="e">
        <f>AND(Percentage!O32,"AAAAAG/9fjg=")</f>
        <v>#VALUE!</v>
      </c>
      <c r="BF4" t="e">
        <f>AND(Percentage!P32,"AAAAAG/9fjk=")</f>
        <v>#VALUE!</v>
      </c>
      <c r="BG4" t="b">
        <f>AND(Percentage!Q32,"AAAAAG/9fjo=")</f>
        <v>0</v>
      </c>
      <c r="BH4" t="b">
        <f>AND(Percentage!R32,"AAAAAG/9fjs=")</f>
        <v>0</v>
      </c>
      <c r="BI4" t="e">
        <f>AND(Percentage!S32,"AAAAAG/9fjw=")</f>
        <v>#VALUE!</v>
      </c>
      <c r="BJ4" t="e">
        <f>AND(Percentage!T32,"AAAAAG/9fj0=")</f>
        <v>#VALUE!</v>
      </c>
      <c r="BK4" t="e">
        <f>AND(Percentage!U32,"AAAAAG/9fj4=")</f>
        <v>#VALUE!</v>
      </c>
      <c r="BL4" t="e">
        <f>AND(Percentage!V32,"AAAAAG/9fj8=")</f>
        <v>#VALUE!</v>
      </c>
      <c r="BM4" t="e">
        <f>AND(Percentage!W32,"AAAAAG/9fkA=")</f>
        <v>#VALUE!</v>
      </c>
      <c r="BN4" t="e">
        <f>AND(Percentage!X32,"AAAAAG/9fkE=")</f>
        <v>#VALUE!</v>
      </c>
      <c r="BO4" t="e">
        <f>AND(Percentage!Y32,"AAAAAG/9fkI=")</f>
        <v>#VALUE!</v>
      </c>
      <c r="BP4" t="e">
        <f>AND(Percentage!Z32,"AAAAAG/9fkM=")</f>
        <v>#VALUE!</v>
      </c>
      <c r="BQ4" t="e">
        <f>AND(Percentage!AA32,"AAAAAG/9fkQ=")</f>
        <v>#VALUE!</v>
      </c>
      <c r="BR4">
        <f>IF(Percentage!33:33,"AAAAAG/9fkU=",0)</f>
        <v>0</v>
      </c>
      <c r="BS4" t="e">
        <f>AND(Percentage!B33,"AAAAAG/9fkY=")</f>
        <v>#VALUE!</v>
      </c>
      <c r="BT4" t="e">
        <f>AND(Percentage!C33,"AAAAAG/9fkc=")</f>
        <v>#VALUE!</v>
      </c>
      <c r="BU4" t="e">
        <f>AND(Percentage!D33,"AAAAAG/9fkg=")</f>
        <v>#VALUE!</v>
      </c>
      <c r="BV4" t="e">
        <f>AND(Percentage!E33,"AAAAAG/9fkk=")</f>
        <v>#VALUE!</v>
      </c>
      <c r="BW4" t="e">
        <f>AND(Percentage!F33,"AAAAAG/9fko=")</f>
        <v>#VALUE!</v>
      </c>
      <c r="BX4" t="e">
        <f>AND(Percentage!G33,"AAAAAG/9fks=")</f>
        <v>#VALUE!</v>
      </c>
      <c r="BY4" t="e">
        <f>AND(Percentage!H33,"AAAAAG/9fkw=")</f>
        <v>#VALUE!</v>
      </c>
      <c r="BZ4" t="e">
        <f>AND(Percentage!I33,"AAAAAG/9fk0=")</f>
        <v>#VALUE!</v>
      </c>
      <c r="CA4" t="e">
        <f>AND(Percentage!J33,"AAAAAG/9fk4=")</f>
        <v>#VALUE!</v>
      </c>
      <c r="CB4" t="e">
        <f>AND(Percentage!K33,"AAAAAG/9fk8=")</f>
        <v>#VALUE!</v>
      </c>
      <c r="CC4" t="e">
        <f>AND(Percentage!L33,"AAAAAG/9flA=")</f>
        <v>#VALUE!</v>
      </c>
      <c r="CD4" t="e">
        <f>AND(Percentage!M33,"AAAAAG/9flE=")</f>
        <v>#VALUE!</v>
      </c>
      <c r="CE4" t="e">
        <f>AND(Percentage!N33,"AAAAAG/9flI=")</f>
        <v>#VALUE!</v>
      </c>
      <c r="CF4" t="e">
        <f>AND(Percentage!O33,"AAAAAG/9flM=")</f>
        <v>#VALUE!</v>
      </c>
      <c r="CG4" t="e">
        <f>AND(Percentage!P33,"AAAAAG/9flQ=")</f>
        <v>#VALUE!</v>
      </c>
      <c r="CH4" t="e">
        <f>AND(Percentage!Q33,"AAAAAG/9flU=")</f>
        <v>#VALUE!</v>
      </c>
      <c r="CI4" t="e">
        <f>AND(Percentage!R33,"AAAAAG/9flY=")</f>
        <v>#VALUE!</v>
      </c>
      <c r="CJ4" t="e">
        <f>AND(Percentage!S33,"AAAAAG/9flc=")</f>
        <v>#VALUE!</v>
      </c>
      <c r="CK4" t="e">
        <f>AND(Percentage!T33,"AAAAAG/9flg=")</f>
        <v>#VALUE!</v>
      </c>
      <c r="CL4" t="e">
        <f>AND(Percentage!U33,"AAAAAG/9flk=")</f>
        <v>#VALUE!</v>
      </c>
      <c r="CM4" t="e">
        <f>AND(Percentage!V33,"AAAAAG/9flo=")</f>
        <v>#VALUE!</v>
      </c>
      <c r="CN4" t="e">
        <f>AND(Percentage!W33,"AAAAAG/9fls=")</f>
        <v>#VALUE!</v>
      </c>
      <c r="CO4" t="e">
        <f>AND(Percentage!X33,"AAAAAG/9flw=")</f>
        <v>#VALUE!</v>
      </c>
      <c r="CP4" t="e">
        <f>AND(Percentage!Y33,"AAAAAG/9fl0=")</f>
        <v>#VALUE!</v>
      </c>
      <c r="CQ4" t="e">
        <f>AND(Percentage!Z33,"AAAAAG/9fl4=")</f>
        <v>#VALUE!</v>
      </c>
      <c r="CR4" t="e">
        <f>AND(Percentage!AA33,"AAAAAG/9fl8=")</f>
        <v>#VALUE!</v>
      </c>
      <c r="CS4">
        <f>IF(Percentage!34:34,"AAAAAG/9fmA=",0)</f>
        <v>0</v>
      </c>
      <c r="CT4" t="e">
        <f>AND(Percentage!B34,"AAAAAG/9fmE=")</f>
        <v>#VALUE!</v>
      </c>
      <c r="CU4" t="e">
        <f>AND(Percentage!C34,"AAAAAG/9fmI=")</f>
        <v>#VALUE!</v>
      </c>
      <c r="CV4" t="e">
        <f>AND(Percentage!D34,"AAAAAG/9fmM=")</f>
        <v>#VALUE!</v>
      </c>
      <c r="CW4" t="e">
        <f>AND(Percentage!E34,"AAAAAG/9fmQ=")</f>
        <v>#VALUE!</v>
      </c>
      <c r="CX4" t="e">
        <f>AND(Percentage!F34,"AAAAAG/9fmU=")</f>
        <v>#VALUE!</v>
      </c>
      <c r="CY4" t="e">
        <f>AND(Percentage!G34,"AAAAAG/9fmY=")</f>
        <v>#VALUE!</v>
      </c>
      <c r="CZ4" t="e">
        <f>AND(Percentage!H34,"AAAAAG/9fmc=")</f>
        <v>#VALUE!</v>
      </c>
      <c r="DA4" t="e">
        <f>AND(Percentage!I34,"AAAAAG/9fmg=")</f>
        <v>#VALUE!</v>
      </c>
      <c r="DB4" t="e">
        <f>AND(Percentage!J34,"AAAAAG/9fmk=")</f>
        <v>#VALUE!</v>
      </c>
      <c r="DC4" t="e">
        <f>AND(Percentage!K34,"AAAAAG/9fmo=")</f>
        <v>#VALUE!</v>
      </c>
      <c r="DD4" t="e">
        <f>AND(Percentage!L34,"AAAAAG/9fms=")</f>
        <v>#VALUE!</v>
      </c>
      <c r="DE4" t="e">
        <f>AND(Percentage!M34,"AAAAAG/9fmw=")</f>
        <v>#VALUE!</v>
      </c>
      <c r="DF4" t="e">
        <f>AND(Percentage!N34,"AAAAAG/9fm0=")</f>
        <v>#VALUE!</v>
      </c>
      <c r="DG4" t="e">
        <f>AND(Percentage!O34,"AAAAAG/9fm4=")</f>
        <v>#VALUE!</v>
      </c>
      <c r="DH4" t="e">
        <f>AND(Percentage!P34,"AAAAAG/9fm8=")</f>
        <v>#VALUE!</v>
      </c>
      <c r="DI4" t="e">
        <f>AND(Percentage!Q34,"AAAAAG/9fnA=")</f>
        <v>#VALUE!</v>
      </c>
      <c r="DJ4" t="e">
        <f>AND(Percentage!R34,"AAAAAG/9fnE=")</f>
        <v>#VALUE!</v>
      </c>
      <c r="DK4" t="e">
        <f>AND(Percentage!S34,"AAAAAG/9fnI=")</f>
        <v>#VALUE!</v>
      </c>
      <c r="DL4" t="e">
        <f>AND(Percentage!T34,"AAAAAG/9fnM=")</f>
        <v>#VALUE!</v>
      </c>
      <c r="DM4" t="e">
        <f>AND(Percentage!U34,"AAAAAG/9fnQ=")</f>
        <v>#VALUE!</v>
      </c>
      <c r="DN4" t="e">
        <f>AND(Percentage!V34,"AAAAAG/9fnU=")</f>
        <v>#VALUE!</v>
      </c>
      <c r="DO4" t="e">
        <f>AND(Percentage!W34,"AAAAAG/9fnY=")</f>
        <v>#VALUE!</v>
      </c>
      <c r="DP4" t="e">
        <f>AND(Percentage!X34,"AAAAAG/9fnc=")</f>
        <v>#VALUE!</v>
      </c>
      <c r="DQ4" t="e">
        <f>AND(Percentage!Y34,"AAAAAG/9fng=")</f>
        <v>#VALUE!</v>
      </c>
      <c r="DR4" t="e">
        <f>AND(Percentage!Z34,"AAAAAG/9fnk=")</f>
        <v>#VALUE!</v>
      </c>
      <c r="DS4" t="e">
        <f>AND(Percentage!AA34,"AAAAAG/9fno=")</f>
        <v>#VALUE!</v>
      </c>
      <c r="DT4">
        <f>IF(Percentage!35:35,"AAAAAG/9fns=",0)</f>
        <v>0</v>
      </c>
      <c r="DU4" t="e">
        <f>IF(Percentage!B:B,"AAAAAG/9fnw=",0)</f>
        <v>#VALUE!</v>
      </c>
      <c r="DV4" t="str">
        <f>IF(Percentage!C:C,"AAAAAG/9fn0=",0)</f>
        <v>AAAAAG/9fn0=</v>
      </c>
      <c r="DW4" t="str">
        <f>IF(Percentage!D:D,"AAAAAG/9fn4=",0)</f>
        <v>AAAAAG/9fn4=</v>
      </c>
      <c r="DX4">
        <f>IF(Percentage!E:E,"AAAAAG/9fn8=",0)</f>
        <v>0</v>
      </c>
      <c r="DY4">
        <f>IF(Percentage!F:F,"AAAAAG/9foA=",0)</f>
        <v>0</v>
      </c>
      <c r="DZ4">
        <f>IF(Percentage!G:G,"AAAAAG/9foE=",0)</f>
        <v>0</v>
      </c>
      <c r="EA4">
        <f>IF(Percentage!H:H,"AAAAAG/9foI=",0)</f>
        <v>0</v>
      </c>
      <c r="EB4">
        <f>IF(Percentage!I:I,"AAAAAG/9foM=",0)</f>
        <v>0</v>
      </c>
      <c r="EC4">
        <f>IF(Percentage!J:J,"AAAAAG/9foQ=",0)</f>
        <v>0</v>
      </c>
      <c r="ED4">
        <f>IF(Percentage!K:K,"AAAAAG/9foU=",0)</f>
        <v>0</v>
      </c>
      <c r="EE4">
        <f>IF(Percentage!L:L,"AAAAAG/9foY=",0)</f>
        <v>0</v>
      </c>
      <c r="EF4">
        <f>IF(Percentage!M:M,"AAAAAG/9foc=",0)</f>
        <v>0</v>
      </c>
      <c r="EG4">
        <f>IF(Percentage!N:N,"AAAAAG/9fog=",0)</f>
        <v>0</v>
      </c>
      <c r="EH4">
        <f>IF(Percentage!O:O,"AAAAAG/9fok=",0)</f>
        <v>0</v>
      </c>
      <c r="EI4">
        <f>IF(Percentage!P:P,"AAAAAG/9foo=",0)</f>
        <v>0</v>
      </c>
      <c r="EJ4">
        <f>IF(Percentage!Q:Q,"AAAAAG/9fos=",0)</f>
        <v>0</v>
      </c>
      <c r="EK4">
        <f>IF(Percentage!R:R,"AAAAAG/9fow=",0)</f>
        <v>0</v>
      </c>
      <c r="EL4">
        <f>IF(Percentage!S:S,"AAAAAG/9fo0=",0)</f>
        <v>0</v>
      </c>
      <c r="EM4">
        <f>IF(Percentage!T:T,"AAAAAG/9fo4=",0)</f>
        <v>0</v>
      </c>
      <c r="EN4">
        <f>IF(Percentage!U:U,"AAAAAG/9fo8=",0)</f>
        <v>0</v>
      </c>
      <c r="EO4" t="str">
        <f>IF(Percentage!V:V,"AAAAAG/9fpA=",0)</f>
        <v>AAAAAG/9fpA=</v>
      </c>
      <c r="EP4" t="str">
        <f>IF(Percentage!W:W,"AAAAAG/9fpE=",0)</f>
        <v>AAAAAG/9fpE=</v>
      </c>
      <c r="EQ4">
        <f>IF(Percentage!X:X,"AAAAAG/9fpI=",0)</f>
        <v>0</v>
      </c>
      <c r="ER4" t="str">
        <f>IF(Percentage!Y:Y,"AAAAAG/9fpM=",0)</f>
        <v>AAAAAG/9fpM=</v>
      </c>
      <c r="ES4">
        <f>IF(Percentage!Z:Z,"AAAAAG/9fpQ=",0)</f>
        <v>0</v>
      </c>
      <c r="ET4" t="str">
        <f>IF(Percentage!AA:AA,"AAAAAG/9fpU=",0)</f>
        <v>AAAAAG/9fpU=</v>
      </c>
      <c r="EU4" t="e">
        <f>IF(#REF!,"AAAAAG/9fpY=",0)</f>
        <v>#REF!</v>
      </c>
      <c r="EV4" t="e">
        <f>AND(#REF!,"AAAAAG/9fpc=")</f>
        <v>#REF!</v>
      </c>
      <c r="EW4" t="e">
        <f>AND(#REF!,"AAAAAG/9fpg=")</f>
        <v>#REF!</v>
      </c>
      <c r="EX4" t="e">
        <f>AND(#REF!,"AAAAAG/9fpk=")</f>
        <v>#REF!</v>
      </c>
      <c r="EY4" t="e">
        <f>AND(#REF!,"AAAAAG/9fpo=")</f>
        <v>#REF!</v>
      </c>
      <c r="EZ4" t="e">
        <f>AND(#REF!,"AAAAAG/9fps=")</f>
        <v>#REF!</v>
      </c>
      <c r="FA4" t="e">
        <f>AND(#REF!,"AAAAAG/9fpw=")</f>
        <v>#REF!</v>
      </c>
      <c r="FB4" t="e">
        <f>AND(#REF!,"AAAAAG/9fp0=")</f>
        <v>#REF!</v>
      </c>
      <c r="FC4" t="e">
        <f>AND(#REF!,"AAAAAG/9fp4=")</f>
        <v>#REF!</v>
      </c>
      <c r="FD4" t="e">
        <f>AND(#REF!,"AAAAAG/9fp8=")</f>
        <v>#REF!</v>
      </c>
      <c r="FE4" t="e">
        <f>AND(#REF!,"AAAAAG/9fqA=")</f>
        <v>#REF!</v>
      </c>
      <c r="FF4" t="e">
        <f>AND(#REF!,"AAAAAG/9fqE=")</f>
        <v>#REF!</v>
      </c>
      <c r="FG4" t="e">
        <f>AND(#REF!,"AAAAAG/9fqI=")</f>
        <v>#REF!</v>
      </c>
      <c r="FH4" t="e">
        <f>AND(#REF!,"AAAAAG/9fqM=")</f>
        <v>#REF!</v>
      </c>
      <c r="FI4" t="e">
        <f>AND(#REF!,"AAAAAG/9fqQ=")</f>
        <v>#REF!</v>
      </c>
      <c r="FJ4" t="e">
        <f>AND(#REF!,"AAAAAG/9fqU=")</f>
        <v>#REF!</v>
      </c>
      <c r="FK4" t="e">
        <f>AND(#REF!,"AAAAAG/9fqY=")</f>
        <v>#REF!</v>
      </c>
      <c r="FL4" t="e">
        <f>AND(#REF!,"AAAAAG/9fqc=")</f>
        <v>#REF!</v>
      </c>
      <c r="FM4" t="e">
        <f>AND(#REF!,"AAAAAG/9fqg=")</f>
        <v>#REF!</v>
      </c>
      <c r="FN4" t="e">
        <f>AND(#REF!,"AAAAAG/9fqk=")</f>
        <v>#REF!</v>
      </c>
      <c r="FO4" t="e">
        <f>AND(#REF!,"AAAAAG/9fqo=")</f>
        <v>#REF!</v>
      </c>
      <c r="FP4" t="e">
        <f>AND(#REF!,"AAAAAG/9fqs=")</f>
        <v>#REF!</v>
      </c>
      <c r="FQ4" t="e">
        <f>AND(#REF!,"AAAAAG/9fqw=")</f>
        <v>#REF!</v>
      </c>
      <c r="FR4" t="e">
        <f>AND(#REF!,"AAAAAG/9fq0=")</f>
        <v>#REF!</v>
      </c>
      <c r="FS4" t="e">
        <f>AND(#REF!,"AAAAAG/9fq4=")</f>
        <v>#REF!</v>
      </c>
      <c r="FT4" t="e">
        <f>AND(#REF!,"AAAAAG/9fq8=")</f>
        <v>#REF!</v>
      </c>
      <c r="FU4" t="e">
        <f>AND(#REF!,"AAAAAG/9frA=")</f>
        <v>#REF!</v>
      </c>
      <c r="FV4" t="e">
        <f>IF(#REF!,"AAAAAG/9frE=",0)</f>
        <v>#REF!</v>
      </c>
      <c r="FW4" t="e">
        <f>AND(#REF!,"AAAAAG/9frI=")</f>
        <v>#REF!</v>
      </c>
      <c r="FX4" t="e">
        <f>AND(#REF!,"AAAAAG/9frM=")</f>
        <v>#REF!</v>
      </c>
      <c r="FY4" t="e">
        <f>AND(#REF!,"AAAAAG/9frQ=")</f>
        <v>#REF!</v>
      </c>
      <c r="FZ4" t="e">
        <f>AND(#REF!,"AAAAAG/9frU=")</f>
        <v>#REF!</v>
      </c>
      <c r="GA4" t="e">
        <f>AND(#REF!,"AAAAAG/9frY=")</f>
        <v>#REF!</v>
      </c>
      <c r="GB4" t="e">
        <f>AND(#REF!,"AAAAAG/9frc=")</f>
        <v>#REF!</v>
      </c>
      <c r="GC4" t="e">
        <f>AND(#REF!,"AAAAAG/9frg=")</f>
        <v>#REF!</v>
      </c>
      <c r="GD4" t="e">
        <f>AND(#REF!,"AAAAAG/9frk=")</f>
        <v>#REF!</v>
      </c>
      <c r="GE4" t="e">
        <f>AND(#REF!,"AAAAAG/9fro=")</f>
        <v>#REF!</v>
      </c>
      <c r="GF4" t="e">
        <f>AND(#REF!,"AAAAAG/9frs=")</f>
        <v>#REF!</v>
      </c>
      <c r="GG4" t="e">
        <f>AND(#REF!,"AAAAAG/9frw=")</f>
        <v>#REF!</v>
      </c>
      <c r="GH4" t="e">
        <f>AND(#REF!,"AAAAAG/9fr0=")</f>
        <v>#REF!</v>
      </c>
      <c r="GI4" t="e">
        <f>AND(#REF!,"AAAAAG/9fr4=")</f>
        <v>#REF!</v>
      </c>
      <c r="GJ4" t="e">
        <f>AND(#REF!,"AAAAAG/9fr8=")</f>
        <v>#REF!</v>
      </c>
      <c r="GK4" t="e">
        <f>AND(#REF!,"AAAAAG/9fsA=")</f>
        <v>#REF!</v>
      </c>
      <c r="GL4" t="e">
        <f>AND(#REF!,"AAAAAG/9fsE=")</f>
        <v>#REF!</v>
      </c>
      <c r="GM4" t="e">
        <f>AND(#REF!,"AAAAAG/9fsI=")</f>
        <v>#REF!</v>
      </c>
      <c r="GN4" t="e">
        <f>AND(#REF!,"AAAAAG/9fsM=")</f>
        <v>#REF!</v>
      </c>
      <c r="GO4" t="e">
        <f>AND(#REF!,"AAAAAG/9fsQ=")</f>
        <v>#REF!</v>
      </c>
      <c r="GP4" t="e">
        <f>AND(#REF!,"AAAAAG/9fsU=")</f>
        <v>#REF!</v>
      </c>
      <c r="GQ4" t="e">
        <f>AND(#REF!,"AAAAAG/9fsY=")</f>
        <v>#REF!</v>
      </c>
      <c r="GR4" t="e">
        <f>AND(#REF!,"AAAAAG/9fsc=")</f>
        <v>#REF!</v>
      </c>
      <c r="GS4" t="e">
        <f>AND(#REF!,"AAAAAG/9fsg=")</f>
        <v>#REF!</v>
      </c>
      <c r="GT4" t="e">
        <f>AND(#REF!,"AAAAAG/9fsk=")</f>
        <v>#REF!</v>
      </c>
      <c r="GU4" t="e">
        <f>AND(#REF!,"AAAAAG/9fso=")</f>
        <v>#REF!</v>
      </c>
      <c r="GV4" t="e">
        <f>AND(#REF!,"AAAAAG/9fss=")</f>
        <v>#REF!</v>
      </c>
      <c r="GW4" t="e">
        <f>IF(#REF!,"AAAAAG/9fsw=",0)</f>
        <v>#REF!</v>
      </c>
      <c r="GX4" t="e">
        <f>AND(#REF!,"AAAAAG/9fs0=")</f>
        <v>#REF!</v>
      </c>
      <c r="GY4" t="e">
        <f>AND(#REF!,"AAAAAG/9fs4=")</f>
        <v>#REF!</v>
      </c>
      <c r="GZ4" t="e">
        <f>AND(#REF!,"AAAAAG/9fs8=")</f>
        <v>#REF!</v>
      </c>
      <c r="HA4" t="e">
        <f>AND(#REF!,"AAAAAG/9ftA=")</f>
        <v>#REF!</v>
      </c>
      <c r="HB4" t="e">
        <f>AND(#REF!,"AAAAAG/9ftE=")</f>
        <v>#REF!</v>
      </c>
      <c r="HC4" t="e">
        <f>AND(#REF!,"AAAAAG/9ftI=")</f>
        <v>#REF!</v>
      </c>
      <c r="HD4" t="e">
        <f>AND(#REF!,"AAAAAG/9ftM=")</f>
        <v>#REF!</v>
      </c>
      <c r="HE4" t="e">
        <f>AND(#REF!,"AAAAAG/9ftQ=")</f>
        <v>#REF!</v>
      </c>
      <c r="HF4" t="e">
        <f>AND(#REF!,"AAAAAG/9ftU=")</f>
        <v>#REF!</v>
      </c>
      <c r="HG4" t="e">
        <f>AND(#REF!,"AAAAAG/9ftY=")</f>
        <v>#REF!</v>
      </c>
      <c r="HH4" t="e">
        <f>AND(#REF!,"AAAAAG/9ftc=")</f>
        <v>#REF!</v>
      </c>
      <c r="HI4" t="e">
        <f>AND(#REF!,"AAAAAG/9ftg=")</f>
        <v>#REF!</v>
      </c>
      <c r="HJ4" t="e">
        <f>AND(#REF!,"AAAAAG/9ftk=")</f>
        <v>#REF!</v>
      </c>
      <c r="HK4" t="e">
        <f>AND(#REF!,"AAAAAG/9fto=")</f>
        <v>#REF!</v>
      </c>
      <c r="HL4" t="e">
        <f>AND(#REF!,"AAAAAG/9fts=")</f>
        <v>#REF!</v>
      </c>
      <c r="HM4" t="e">
        <f>AND(#REF!,"AAAAAG/9ftw=")</f>
        <v>#REF!</v>
      </c>
      <c r="HN4" t="e">
        <f>AND(#REF!,"AAAAAG/9ft0=")</f>
        <v>#REF!</v>
      </c>
      <c r="HO4" t="e">
        <f>AND(#REF!,"AAAAAG/9ft4=")</f>
        <v>#REF!</v>
      </c>
      <c r="HP4" t="e">
        <f>AND(#REF!,"AAAAAG/9ft8=")</f>
        <v>#REF!</v>
      </c>
      <c r="HQ4" t="e">
        <f>AND(#REF!,"AAAAAG/9fuA=")</f>
        <v>#REF!</v>
      </c>
      <c r="HR4" t="e">
        <f>AND(#REF!,"AAAAAG/9fuE=")</f>
        <v>#REF!</v>
      </c>
      <c r="HS4" t="e">
        <f>AND(#REF!,"AAAAAG/9fuI=")</f>
        <v>#REF!</v>
      </c>
      <c r="HT4" t="e">
        <f>AND(#REF!,"AAAAAG/9fuM=")</f>
        <v>#REF!</v>
      </c>
      <c r="HU4" t="e">
        <f>AND(#REF!,"AAAAAG/9fuQ=")</f>
        <v>#REF!</v>
      </c>
      <c r="HV4" t="e">
        <f>AND(#REF!,"AAAAAG/9fuU=")</f>
        <v>#REF!</v>
      </c>
      <c r="HW4" t="e">
        <f>AND(#REF!,"AAAAAG/9fuY=")</f>
        <v>#REF!</v>
      </c>
      <c r="HX4" t="e">
        <f>IF(#REF!,"AAAAAG/9fuc=",0)</f>
        <v>#REF!</v>
      </c>
      <c r="HY4" t="e">
        <f>AND(#REF!,"AAAAAG/9fug=")</f>
        <v>#REF!</v>
      </c>
      <c r="HZ4" t="e">
        <f>AND(#REF!,"AAAAAG/9fuk=")</f>
        <v>#REF!</v>
      </c>
      <c r="IA4" t="e">
        <f>AND(#REF!,"AAAAAG/9fuo=")</f>
        <v>#REF!</v>
      </c>
      <c r="IB4" t="e">
        <f>AND(#REF!,"AAAAAG/9fus=")</f>
        <v>#REF!</v>
      </c>
      <c r="IC4" t="e">
        <f>AND(#REF!,"AAAAAG/9fuw=")</f>
        <v>#REF!</v>
      </c>
      <c r="ID4" t="e">
        <f>AND(#REF!,"AAAAAG/9fu0=")</f>
        <v>#REF!</v>
      </c>
      <c r="IE4" t="e">
        <f>AND(#REF!,"AAAAAG/9fu4=")</f>
        <v>#REF!</v>
      </c>
      <c r="IF4" t="e">
        <f>AND(#REF!,"AAAAAG/9fu8=")</f>
        <v>#REF!</v>
      </c>
      <c r="IG4" t="e">
        <f>AND(#REF!,"AAAAAG/9fvA=")</f>
        <v>#REF!</v>
      </c>
      <c r="IH4" t="e">
        <f>AND(#REF!,"AAAAAG/9fvE=")</f>
        <v>#REF!</v>
      </c>
      <c r="II4" t="e">
        <f>AND(#REF!,"AAAAAG/9fvI=")</f>
        <v>#REF!</v>
      </c>
      <c r="IJ4" t="e">
        <f>AND(#REF!,"AAAAAG/9fvM=")</f>
        <v>#REF!</v>
      </c>
      <c r="IK4" t="e">
        <f>AND(#REF!,"AAAAAG/9fvQ=")</f>
        <v>#REF!</v>
      </c>
      <c r="IL4" t="e">
        <f>AND(#REF!,"AAAAAG/9fvU=")</f>
        <v>#REF!</v>
      </c>
      <c r="IM4" t="e">
        <f>AND(#REF!,"AAAAAG/9fvY=")</f>
        <v>#REF!</v>
      </c>
      <c r="IN4" t="e">
        <f>AND(#REF!,"AAAAAG/9fvc=")</f>
        <v>#REF!</v>
      </c>
      <c r="IO4" t="e">
        <f>AND(#REF!,"AAAAAG/9fvg=")</f>
        <v>#REF!</v>
      </c>
      <c r="IP4" t="e">
        <f>AND(#REF!,"AAAAAG/9fvk=")</f>
        <v>#REF!</v>
      </c>
      <c r="IQ4" t="e">
        <f>AND(#REF!,"AAAAAG/9fvo=")</f>
        <v>#REF!</v>
      </c>
      <c r="IR4" t="e">
        <f>AND(#REF!,"AAAAAG/9fvs=")</f>
        <v>#REF!</v>
      </c>
      <c r="IS4" t="e">
        <f>AND(#REF!,"AAAAAG/9fvw=")</f>
        <v>#REF!</v>
      </c>
      <c r="IT4" t="e">
        <f>AND(#REF!,"AAAAAG/9fv0=")</f>
        <v>#REF!</v>
      </c>
      <c r="IU4" t="e">
        <f>AND(#REF!,"AAAAAG/9fv4=")</f>
        <v>#REF!</v>
      </c>
      <c r="IV4" t="e">
        <f>AND(#REF!,"AAAAAG/9fv8=")</f>
        <v>#REF!</v>
      </c>
    </row>
    <row r="5" spans="1:256" x14ac:dyDescent="0.25">
      <c r="A5" t="e">
        <f>AND(#REF!,"AAAAAH+v3QA=")</f>
        <v>#REF!</v>
      </c>
      <c r="B5" t="e">
        <f>AND(#REF!,"AAAAAH+v3QE=")</f>
        <v>#REF!</v>
      </c>
      <c r="C5" t="e">
        <f>IF(#REF!,"AAAAAH+v3QI=",0)</f>
        <v>#REF!</v>
      </c>
      <c r="D5" t="e">
        <f>AND(#REF!,"AAAAAH+v3QM=")</f>
        <v>#REF!</v>
      </c>
      <c r="E5" t="e">
        <f>AND(#REF!,"AAAAAH+v3QQ=")</f>
        <v>#REF!</v>
      </c>
      <c r="F5" t="e">
        <f>AND(#REF!,"AAAAAH+v3QU=")</f>
        <v>#REF!</v>
      </c>
      <c r="G5" t="e">
        <f>AND(#REF!,"AAAAAH+v3QY=")</f>
        <v>#REF!</v>
      </c>
      <c r="H5" t="e">
        <f>AND(#REF!,"AAAAAH+v3Qc=")</f>
        <v>#REF!</v>
      </c>
      <c r="I5" t="e">
        <f>AND(#REF!,"AAAAAH+v3Qg=")</f>
        <v>#REF!</v>
      </c>
      <c r="J5" t="e">
        <f>AND(#REF!,"AAAAAH+v3Qk=")</f>
        <v>#REF!</v>
      </c>
      <c r="K5" t="e">
        <f>AND(#REF!,"AAAAAH+v3Qo=")</f>
        <v>#REF!</v>
      </c>
      <c r="L5" t="e">
        <f>AND(#REF!,"AAAAAH+v3Qs=")</f>
        <v>#REF!</v>
      </c>
      <c r="M5" t="e">
        <f>AND(#REF!,"AAAAAH+v3Qw=")</f>
        <v>#REF!</v>
      </c>
      <c r="N5" t="e">
        <f>AND(#REF!,"AAAAAH+v3Q0=")</f>
        <v>#REF!</v>
      </c>
      <c r="O5" t="e">
        <f>AND(#REF!,"AAAAAH+v3Q4=")</f>
        <v>#REF!</v>
      </c>
      <c r="P5" t="e">
        <f>AND(#REF!,"AAAAAH+v3Q8=")</f>
        <v>#REF!</v>
      </c>
      <c r="Q5" t="e">
        <f>AND(#REF!,"AAAAAH+v3RA=")</f>
        <v>#REF!</v>
      </c>
      <c r="R5" t="e">
        <f>AND(#REF!,"AAAAAH+v3RE=")</f>
        <v>#REF!</v>
      </c>
      <c r="S5" t="e">
        <f>AND(#REF!,"AAAAAH+v3RI=")</f>
        <v>#REF!</v>
      </c>
      <c r="T5" t="e">
        <f>AND(#REF!,"AAAAAH+v3RM=")</f>
        <v>#REF!</v>
      </c>
      <c r="U5" t="e">
        <f>AND(#REF!,"AAAAAH+v3RQ=")</f>
        <v>#REF!</v>
      </c>
      <c r="V5" t="e">
        <f>AND(#REF!,"AAAAAH+v3RU=")</f>
        <v>#REF!</v>
      </c>
      <c r="W5" t="e">
        <f>AND(#REF!,"AAAAAH+v3RY=")</f>
        <v>#REF!</v>
      </c>
      <c r="X5" t="e">
        <f>AND(#REF!,"AAAAAH+v3Rc=")</f>
        <v>#REF!</v>
      </c>
      <c r="Y5" t="e">
        <f>AND(#REF!,"AAAAAH+v3Rg=")</f>
        <v>#REF!</v>
      </c>
      <c r="Z5" t="e">
        <f>AND(#REF!,"AAAAAH+v3Rk=")</f>
        <v>#REF!</v>
      </c>
      <c r="AA5" t="e">
        <f>AND(#REF!,"AAAAAH+v3Ro=")</f>
        <v>#REF!</v>
      </c>
      <c r="AB5" t="e">
        <f>AND(#REF!,"AAAAAH+v3Rs=")</f>
        <v>#REF!</v>
      </c>
      <c r="AC5" t="e">
        <f>AND(#REF!,"AAAAAH+v3Rw=")</f>
        <v>#REF!</v>
      </c>
      <c r="AD5" t="e">
        <f>IF(#REF!,"AAAAAH+v3R0=",0)</f>
        <v>#REF!</v>
      </c>
      <c r="AE5" t="e">
        <f>AND(#REF!,"AAAAAH+v3R4=")</f>
        <v>#REF!</v>
      </c>
      <c r="AF5" t="e">
        <f>AND(#REF!,"AAAAAH+v3R8=")</f>
        <v>#REF!</v>
      </c>
      <c r="AG5" t="e">
        <f>AND(#REF!,"AAAAAH+v3SA=")</f>
        <v>#REF!</v>
      </c>
      <c r="AH5" t="e">
        <f>AND(#REF!,"AAAAAH+v3SE=")</f>
        <v>#REF!</v>
      </c>
      <c r="AI5" t="e">
        <f>AND(#REF!,"AAAAAH+v3SI=")</f>
        <v>#REF!</v>
      </c>
      <c r="AJ5" t="e">
        <f>AND(#REF!,"AAAAAH+v3SM=")</f>
        <v>#REF!</v>
      </c>
      <c r="AK5" t="e">
        <f>AND(#REF!,"AAAAAH+v3SQ=")</f>
        <v>#REF!</v>
      </c>
      <c r="AL5" t="e">
        <f>AND(#REF!,"AAAAAH+v3SU=")</f>
        <v>#REF!</v>
      </c>
      <c r="AM5" t="e">
        <f>AND(#REF!,"AAAAAH+v3SY=")</f>
        <v>#REF!</v>
      </c>
      <c r="AN5" t="e">
        <f>AND(#REF!,"AAAAAH+v3Sc=")</f>
        <v>#REF!</v>
      </c>
      <c r="AO5" t="e">
        <f>AND(#REF!,"AAAAAH+v3Sg=")</f>
        <v>#REF!</v>
      </c>
      <c r="AP5" t="e">
        <f>AND(#REF!,"AAAAAH+v3Sk=")</f>
        <v>#REF!</v>
      </c>
      <c r="AQ5" t="e">
        <f>AND(#REF!,"AAAAAH+v3So=")</f>
        <v>#REF!</v>
      </c>
      <c r="AR5" t="e">
        <f>AND(#REF!,"AAAAAH+v3Ss=")</f>
        <v>#REF!</v>
      </c>
      <c r="AS5" t="e">
        <f>AND(#REF!,"AAAAAH+v3Sw=")</f>
        <v>#REF!</v>
      </c>
      <c r="AT5" t="e">
        <f>AND(#REF!,"AAAAAH+v3S0=")</f>
        <v>#REF!</v>
      </c>
      <c r="AU5" t="e">
        <f>AND(#REF!,"AAAAAH+v3S4=")</f>
        <v>#REF!</v>
      </c>
      <c r="AV5" t="e">
        <f>AND(#REF!,"AAAAAH+v3S8=")</f>
        <v>#REF!</v>
      </c>
      <c r="AW5" t="e">
        <f>AND(#REF!,"AAAAAH+v3TA=")</f>
        <v>#REF!</v>
      </c>
      <c r="AX5" t="e">
        <f>AND(#REF!,"AAAAAH+v3TE=")</f>
        <v>#REF!</v>
      </c>
      <c r="AY5" t="e">
        <f>AND(#REF!,"AAAAAH+v3TI=")</f>
        <v>#REF!</v>
      </c>
      <c r="AZ5" t="e">
        <f>AND(#REF!,"AAAAAH+v3TM=")</f>
        <v>#REF!</v>
      </c>
      <c r="BA5" t="e">
        <f>AND(#REF!,"AAAAAH+v3TQ=")</f>
        <v>#REF!</v>
      </c>
      <c r="BB5" t="e">
        <f>AND(#REF!,"AAAAAH+v3TU=")</f>
        <v>#REF!</v>
      </c>
      <c r="BC5" t="e">
        <f>AND(#REF!,"AAAAAH+v3TY=")</f>
        <v>#REF!</v>
      </c>
      <c r="BD5" t="e">
        <f>AND(#REF!,"AAAAAH+v3Tc=")</f>
        <v>#REF!</v>
      </c>
      <c r="BE5" t="e">
        <f>IF(#REF!,"AAAAAH+v3Tg=",0)</f>
        <v>#REF!</v>
      </c>
      <c r="BF5" t="e">
        <f>AND(#REF!,"AAAAAH+v3Tk=")</f>
        <v>#REF!</v>
      </c>
      <c r="BG5" t="e">
        <f>AND(#REF!,"AAAAAH+v3To=")</f>
        <v>#REF!</v>
      </c>
      <c r="BH5" t="e">
        <f>AND(#REF!,"AAAAAH+v3Ts=")</f>
        <v>#REF!</v>
      </c>
      <c r="BI5" t="e">
        <f>AND(#REF!,"AAAAAH+v3Tw=")</f>
        <v>#REF!</v>
      </c>
      <c r="BJ5" t="e">
        <f>AND(#REF!,"AAAAAH+v3T0=")</f>
        <v>#REF!</v>
      </c>
      <c r="BK5" t="e">
        <f>AND(#REF!,"AAAAAH+v3T4=")</f>
        <v>#REF!</v>
      </c>
      <c r="BL5" t="e">
        <f>AND(#REF!,"AAAAAH+v3T8=")</f>
        <v>#REF!</v>
      </c>
      <c r="BM5" t="e">
        <f>AND(#REF!,"AAAAAH+v3UA=")</f>
        <v>#REF!</v>
      </c>
      <c r="BN5" t="e">
        <f>AND(#REF!,"AAAAAH+v3UE=")</f>
        <v>#REF!</v>
      </c>
      <c r="BO5" t="e">
        <f>AND(#REF!,"AAAAAH+v3UI=")</f>
        <v>#REF!</v>
      </c>
      <c r="BP5" t="e">
        <f>AND(#REF!,"AAAAAH+v3UM=")</f>
        <v>#REF!</v>
      </c>
      <c r="BQ5" t="e">
        <f>AND(#REF!,"AAAAAH+v3UQ=")</f>
        <v>#REF!</v>
      </c>
      <c r="BR5" t="e">
        <f>AND(#REF!,"AAAAAH+v3UU=")</f>
        <v>#REF!</v>
      </c>
      <c r="BS5" t="e">
        <f>AND(#REF!,"AAAAAH+v3UY=")</f>
        <v>#REF!</v>
      </c>
      <c r="BT5" t="e">
        <f>AND(#REF!,"AAAAAH+v3Uc=")</f>
        <v>#REF!</v>
      </c>
      <c r="BU5" t="e">
        <f>AND(#REF!,"AAAAAH+v3Ug=")</f>
        <v>#REF!</v>
      </c>
      <c r="BV5" t="e">
        <f>AND(#REF!,"AAAAAH+v3Uk=")</f>
        <v>#REF!</v>
      </c>
      <c r="BW5" t="e">
        <f>AND(#REF!,"AAAAAH+v3Uo=")</f>
        <v>#REF!</v>
      </c>
      <c r="BX5" t="e">
        <f>AND(#REF!,"AAAAAH+v3Us=")</f>
        <v>#REF!</v>
      </c>
      <c r="BY5" t="e">
        <f>AND(#REF!,"AAAAAH+v3Uw=")</f>
        <v>#REF!</v>
      </c>
      <c r="BZ5" t="e">
        <f>AND(#REF!,"AAAAAH+v3U0=")</f>
        <v>#REF!</v>
      </c>
      <c r="CA5" t="e">
        <f>AND(#REF!,"AAAAAH+v3U4=")</f>
        <v>#REF!</v>
      </c>
      <c r="CB5" t="e">
        <f>AND(#REF!,"AAAAAH+v3U8=")</f>
        <v>#REF!</v>
      </c>
      <c r="CC5" t="e">
        <f>AND(#REF!,"AAAAAH+v3VA=")</f>
        <v>#REF!</v>
      </c>
      <c r="CD5" t="e">
        <f>AND(#REF!,"AAAAAH+v3VE=")</f>
        <v>#REF!</v>
      </c>
      <c r="CE5" t="e">
        <f>AND(#REF!,"AAAAAH+v3VI=")</f>
        <v>#REF!</v>
      </c>
      <c r="CF5" t="e">
        <f>IF(#REF!,"AAAAAH+v3VM=",0)</f>
        <v>#REF!</v>
      </c>
      <c r="CG5" t="e">
        <f>AND(#REF!,"AAAAAH+v3VQ=")</f>
        <v>#REF!</v>
      </c>
      <c r="CH5" t="e">
        <f>AND(#REF!,"AAAAAH+v3VU=")</f>
        <v>#REF!</v>
      </c>
      <c r="CI5" t="e">
        <f>AND(#REF!,"AAAAAH+v3VY=")</f>
        <v>#REF!</v>
      </c>
      <c r="CJ5" t="e">
        <f>AND(#REF!,"AAAAAH+v3Vc=")</f>
        <v>#REF!</v>
      </c>
      <c r="CK5" t="e">
        <f>AND(#REF!,"AAAAAH+v3Vg=")</f>
        <v>#REF!</v>
      </c>
      <c r="CL5" t="e">
        <f>AND(#REF!,"AAAAAH+v3Vk=")</f>
        <v>#REF!</v>
      </c>
      <c r="CM5" t="e">
        <f>AND(#REF!,"AAAAAH+v3Vo=")</f>
        <v>#REF!</v>
      </c>
      <c r="CN5" t="e">
        <f>AND(#REF!,"AAAAAH+v3Vs=")</f>
        <v>#REF!</v>
      </c>
      <c r="CO5" t="e">
        <f>AND(#REF!,"AAAAAH+v3Vw=")</f>
        <v>#REF!</v>
      </c>
      <c r="CP5" t="e">
        <f>AND(#REF!,"AAAAAH+v3V0=")</f>
        <v>#REF!</v>
      </c>
      <c r="CQ5" t="e">
        <f>AND(#REF!,"AAAAAH+v3V4=")</f>
        <v>#REF!</v>
      </c>
      <c r="CR5" t="e">
        <f>AND(#REF!,"AAAAAH+v3V8=")</f>
        <v>#REF!</v>
      </c>
      <c r="CS5" t="e">
        <f>AND(#REF!,"AAAAAH+v3WA=")</f>
        <v>#REF!</v>
      </c>
      <c r="CT5" t="e">
        <f>AND(#REF!,"AAAAAH+v3WE=")</f>
        <v>#REF!</v>
      </c>
      <c r="CU5" t="e">
        <f>AND(#REF!,"AAAAAH+v3WI=")</f>
        <v>#REF!</v>
      </c>
      <c r="CV5" t="e">
        <f>AND(#REF!,"AAAAAH+v3WM=")</f>
        <v>#REF!</v>
      </c>
      <c r="CW5" t="e">
        <f>AND(#REF!,"AAAAAH+v3WQ=")</f>
        <v>#REF!</v>
      </c>
      <c r="CX5" t="e">
        <f>AND(#REF!,"AAAAAH+v3WU=")</f>
        <v>#REF!</v>
      </c>
      <c r="CY5" t="e">
        <f>AND(#REF!,"AAAAAH+v3WY=")</f>
        <v>#REF!</v>
      </c>
      <c r="CZ5" t="e">
        <f>AND(#REF!,"AAAAAH+v3Wc=")</f>
        <v>#REF!</v>
      </c>
      <c r="DA5" t="e">
        <f>AND(#REF!,"AAAAAH+v3Wg=")</f>
        <v>#REF!</v>
      </c>
      <c r="DB5" t="e">
        <f>AND(#REF!,"AAAAAH+v3Wk=")</f>
        <v>#REF!</v>
      </c>
      <c r="DC5" t="e">
        <f>AND(#REF!,"AAAAAH+v3Wo=")</f>
        <v>#REF!</v>
      </c>
      <c r="DD5" t="e">
        <f>AND(#REF!,"AAAAAH+v3Ws=")</f>
        <v>#REF!</v>
      </c>
      <c r="DE5" t="e">
        <f>AND(#REF!,"AAAAAH+v3Ww=")</f>
        <v>#REF!</v>
      </c>
      <c r="DF5" t="e">
        <f>AND(#REF!,"AAAAAH+v3W0=")</f>
        <v>#REF!</v>
      </c>
      <c r="DG5" t="e">
        <f>IF(#REF!,"AAAAAH+v3W4=",0)</f>
        <v>#REF!</v>
      </c>
      <c r="DH5" t="e">
        <f>AND(#REF!,"AAAAAH+v3W8=")</f>
        <v>#REF!</v>
      </c>
      <c r="DI5" t="e">
        <f>AND(#REF!,"AAAAAH+v3XA=")</f>
        <v>#REF!</v>
      </c>
      <c r="DJ5" t="e">
        <f>AND(#REF!,"AAAAAH+v3XE=")</f>
        <v>#REF!</v>
      </c>
      <c r="DK5" t="e">
        <f>AND(#REF!,"AAAAAH+v3XI=")</f>
        <v>#REF!</v>
      </c>
      <c r="DL5" t="e">
        <f>AND(#REF!,"AAAAAH+v3XM=")</f>
        <v>#REF!</v>
      </c>
      <c r="DM5" t="e">
        <f>AND(#REF!,"AAAAAH+v3XQ=")</f>
        <v>#REF!</v>
      </c>
      <c r="DN5" t="e">
        <f>AND(#REF!,"AAAAAH+v3XU=")</f>
        <v>#REF!</v>
      </c>
      <c r="DO5" t="e">
        <f>AND(#REF!,"AAAAAH+v3XY=")</f>
        <v>#REF!</v>
      </c>
      <c r="DP5" t="e">
        <f>AND(#REF!,"AAAAAH+v3Xc=")</f>
        <v>#REF!</v>
      </c>
      <c r="DQ5" t="e">
        <f>AND(#REF!,"AAAAAH+v3Xg=")</f>
        <v>#REF!</v>
      </c>
      <c r="DR5" t="e">
        <f>AND(#REF!,"AAAAAH+v3Xk=")</f>
        <v>#REF!</v>
      </c>
      <c r="DS5" t="e">
        <f>AND(#REF!,"AAAAAH+v3Xo=")</f>
        <v>#REF!</v>
      </c>
      <c r="DT5" t="e">
        <f>AND(#REF!,"AAAAAH+v3Xs=")</f>
        <v>#REF!</v>
      </c>
      <c r="DU5" t="e">
        <f>AND(#REF!,"AAAAAH+v3Xw=")</f>
        <v>#REF!</v>
      </c>
      <c r="DV5" t="e">
        <f>AND(#REF!,"AAAAAH+v3X0=")</f>
        <v>#REF!</v>
      </c>
      <c r="DW5" t="e">
        <f>AND(#REF!,"AAAAAH+v3X4=")</f>
        <v>#REF!</v>
      </c>
      <c r="DX5" t="e">
        <f>AND(#REF!,"AAAAAH+v3X8=")</f>
        <v>#REF!</v>
      </c>
      <c r="DY5" t="e">
        <f>AND(#REF!,"AAAAAH+v3YA=")</f>
        <v>#REF!</v>
      </c>
      <c r="DZ5" t="e">
        <f>AND(#REF!,"AAAAAH+v3YE=")</f>
        <v>#REF!</v>
      </c>
      <c r="EA5" t="e">
        <f>AND(#REF!,"AAAAAH+v3YI=")</f>
        <v>#REF!</v>
      </c>
      <c r="EB5" t="e">
        <f>AND(#REF!,"AAAAAH+v3YM=")</f>
        <v>#REF!</v>
      </c>
      <c r="EC5" t="e">
        <f>AND(#REF!,"AAAAAH+v3YQ=")</f>
        <v>#REF!</v>
      </c>
      <c r="ED5" t="e">
        <f>AND(#REF!,"AAAAAH+v3YU=")</f>
        <v>#REF!</v>
      </c>
      <c r="EE5" t="e">
        <f>AND(#REF!,"AAAAAH+v3YY=")</f>
        <v>#REF!</v>
      </c>
      <c r="EF5" t="e">
        <f>AND(#REF!,"AAAAAH+v3Yc=")</f>
        <v>#REF!</v>
      </c>
      <c r="EG5" t="e">
        <f>AND(#REF!,"AAAAAH+v3Yg=")</f>
        <v>#REF!</v>
      </c>
      <c r="EH5" t="e">
        <f>IF(#REF!,"AAAAAH+v3Yk=",0)</f>
        <v>#REF!</v>
      </c>
      <c r="EI5" t="e">
        <f>AND(#REF!,"AAAAAH+v3Yo=")</f>
        <v>#REF!</v>
      </c>
      <c r="EJ5" t="e">
        <f>AND(#REF!,"AAAAAH+v3Ys=")</f>
        <v>#REF!</v>
      </c>
      <c r="EK5" t="e">
        <f>AND(#REF!,"AAAAAH+v3Yw=")</f>
        <v>#REF!</v>
      </c>
      <c r="EL5" t="e">
        <f>AND(#REF!,"AAAAAH+v3Y0=")</f>
        <v>#REF!</v>
      </c>
      <c r="EM5" t="e">
        <f>AND(#REF!,"AAAAAH+v3Y4=")</f>
        <v>#REF!</v>
      </c>
      <c r="EN5" t="e">
        <f>AND(#REF!,"AAAAAH+v3Y8=")</f>
        <v>#REF!</v>
      </c>
      <c r="EO5" t="e">
        <f>AND(#REF!,"AAAAAH+v3ZA=")</f>
        <v>#REF!</v>
      </c>
      <c r="EP5" t="e">
        <f>AND(#REF!,"AAAAAH+v3ZE=")</f>
        <v>#REF!</v>
      </c>
      <c r="EQ5" t="e">
        <f>AND(#REF!,"AAAAAH+v3ZI=")</f>
        <v>#REF!</v>
      </c>
      <c r="ER5" t="e">
        <f>AND(#REF!,"AAAAAH+v3ZM=")</f>
        <v>#REF!</v>
      </c>
      <c r="ES5" t="e">
        <f>AND(#REF!,"AAAAAH+v3ZQ=")</f>
        <v>#REF!</v>
      </c>
      <c r="ET5" t="e">
        <f>AND(#REF!,"AAAAAH+v3ZU=")</f>
        <v>#REF!</v>
      </c>
      <c r="EU5" t="e">
        <f>AND(#REF!,"AAAAAH+v3ZY=")</f>
        <v>#REF!</v>
      </c>
      <c r="EV5" t="e">
        <f>AND(#REF!,"AAAAAH+v3Zc=")</f>
        <v>#REF!</v>
      </c>
      <c r="EW5" t="e">
        <f>AND(#REF!,"AAAAAH+v3Zg=")</f>
        <v>#REF!</v>
      </c>
      <c r="EX5" t="e">
        <f>AND(#REF!,"AAAAAH+v3Zk=")</f>
        <v>#REF!</v>
      </c>
      <c r="EY5" t="e">
        <f>AND(#REF!,"AAAAAH+v3Zo=")</f>
        <v>#REF!</v>
      </c>
      <c r="EZ5" t="e">
        <f>AND(#REF!,"AAAAAH+v3Zs=")</f>
        <v>#REF!</v>
      </c>
      <c r="FA5" t="e">
        <f>AND(#REF!,"AAAAAH+v3Zw=")</f>
        <v>#REF!</v>
      </c>
      <c r="FB5" t="e">
        <f>AND(#REF!,"AAAAAH+v3Z0=")</f>
        <v>#REF!</v>
      </c>
      <c r="FC5" t="e">
        <f>AND(#REF!,"AAAAAH+v3Z4=")</f>
        <v>#REF!</v>
      </c>
      <c r="FD5" t="e">
        <f>AND(#REF!,"AAAAAH+v3Z8=")</f>
        <v>#REF!</v>
      </c>
      <c r="FE5" t="e">
        <f>AND(#REF!,"AAAAAH+v3aA=")</f>
        <v>#REF!</v>
      </c>
      <c r="FF5" t="e">
        <f>AND(#REF!,"AAAAAH+v3aE=")</f>
        <v>#REF!</v>
      </c>
      <c r="FG5" t="e">
        <f>AND(#REF!,"AAAAAH+v3aI=")</f>
        <v>#REF!</v>
      </c>
      <c r="FH5" t="e">
        <f>AND(#REF!,"AAAAAH+v3aM=")</f>
        <v>#REF!</v>
      </c>
      <c r="FI5" t="e">
        <f>IF(#REF!,"AAAAAH+v3aQ=",0)</f>
        <v>#REF!</v>
      </c>
      <c r="FJ5" t="e">
        <f>AND(#REF!,"AAAAAH+v3aU=")</f>
        <v>#REF!</v>
      </c>
      <c r="FK5" t="e">
        <f>AND(#REF!,"AAAAAH+v3aY=")</f>
        <v>#REF!</v>
      </c>
      <c r="FL5" t="e">
        <f>AND(#REF!,"AAAAAH+v3ac=")</f>
        <v>#REF!</v>
      </c>
      <c r="FM5" t="e">
        <f>AND(#REF!,"AAAAAH+v3ag=")</f>
        <v>#REF!</v>
      </c>
      <c r="FN5" t="e">
        <f>AND(#REF!,"AAAAAH+v3ak=")</f>
        <v>#REF!</v>
      </c>
      <c r="FO5" t="e">
        <f>AND(#REF!,"AAAAAH+v3ao=")</f>
        <v>#REF!</v>
      </c>
      <c r="FP5" t="e">
        <f>AND(#REF!,"AAAAAH+v3as=")</f>
        <v>#REF!</v>
      </c>
      <c r="FQ5" t="e">
        <f>AND(#REF!,"AAAAAH+v3aw=")</f>
        <v>#REF!</v>
      </c>
      <c r="FR5" t="e">
        <f>AND(#REF!,"AAAAAH+v3a0=")</f>
        <v>#REF!</v>
      </c>
      <c r="FS5" t="e">
        <f>AND(#REF!,"AAAAAH+v3a4=")</f>
        <v>#REF!</v>
      </c>
      <c r="FT5" t="e">
        <f>AND(#REF!,"AAAAAH+v3a8=")</f>
        <v>#REF!</v>
      </c>
      <c r="FU5" t="e">
        <f>AND(#REF!,"AAAAAH+v3bA=")</f>
        <v>#REF!</v>
      </c>
      <c r="FV5" t="e">
        <f>AND(#REF!,"AAAAAH+v3bE=")</f>
        <v>#REF!</v>
      </c>
      <c r="FW5" t="e">
        <f>AND(#REF!,"AAAAAH+v3bI=")</f>
        <v>#REF!</v>
      </c>
      <c r="FX5" t="e">
        <f>AND(#REF!,"AAAAAH+v3bM=")</f>
        <v>#REF!</v>
      </c>
      <c r="FY5" t="e">
        <f>AND(#REF!,"AAAAAH+v3bQ=")</f>
        <v>#REF!</v>
      </c>
      <c r="FZ5" t="e">
        <f>AND(#REF!,"AAAAAH+v3bU=")</f>
        <v>#REF!</v>
      </c>
      <c r="GA5" t="e">
        <f>AND(#REF!,"AAAAAH+v3bY=")</f>
        <v>#REF!</v>
      </c>
      <c r="GB5" t="e">
        <f>AND(#REF!,"AAAAAH+v3bc=")</f>
        <v>#REF!</v>
      </c>
      <c r="GC5" t="e">
        <f>AND(#REF!,"AAAAAH+v3bg=")</f>
        <v>#REF!</v>
      </c>
      <c r="GD5" t="e">
        <f>AND(#REF!,"AAAAAH+v3bk=")</f>
        <v>#REF!</v>
      </c>
      <c r="GE5" t="e">
        <f>AND(#REF!,"AAAAAH+v3bo=")</f>
        <v>#REF!</v>
      </c>
      <c r="GF5" t="e">
        <f>AND(#REF!,"AAAAAH+v3bs=")</f>
        <v>#REF!</v>
      </c>
      <c r="GG5" t="e">
        <f>AND(#REF!,"AAAAAH+v3bw=")</f>
        <v>#REF!</v>
      </c>
      <c r="GH5" t="e">
        <f>AND(#REF!,"AAAAAH+v3b0=")</f>
        <v>#REF!</v>
      </c>
      <c r="GI5" t="e">
        <f>AND(#REF!,"AAAAAH+v3b4=")</f>
        <v>#REF!</v>
      </c>
      <c r="GJ5" t="e">
        <f>IF(#REF!,"AAAAAH+v3b8=",0)</f>
        <v>#REF!</v>
      </c>
      <c r="GK5" t="e">
        <f>AND(#REF!,"AAAAAH+v3cA=")</f>
        <v>#REF!</v>
      </c>
      <c r="GL5" t="e">
        <f>AND(#REF!,"AAAAAH+v3cE=")</f>
        <v>#REF!</v>
      </c>
      <c r="GM5" t="e">
        <f>AND(#REF!,"AAAAAH+v3cI=")</f>
        <v>#REF!</v>
      </c>
      <c r="GN5" t="e">
        <f>AND(#REF!,"AAAAAH+v3cM=")</f>
        <v>#REF!</v>
      </c>
      <c r="GO5" t="e">
        <f>AND(#REF!,"AAAAAH+v3cQ=")</f>
        <v>#REF!</v>
      </c>
      <c r="GP5" t="e">
        <f>AND(#REF!,"AAAAAH+v3cU=")</f>
        <v>#REF!</v>
      </c>
      <c r="GQ5" t="e">
        <f>AND(#REF!,"AAAAAH+v3cY=")</f>
        <v>#REF!</v>
      </c>
      <c r="GR5" t="e">
        <f>AND(#REF!,"AAAAAH+v3cc=")</f>
        <v>#REF!</v>
      </c>
      <c r="GS5" t="e">
        <f>AND(#REF!,"AAAAAH+v3cg=")</f>
        <v>#REF!</v>
      </c>
      <c r="GT5" t="e">
        <f>AND(#REF!,"AAAAAH+v3ck=")</f>
        <v>#REF!</v>
      </c>
      <c r="GU5" t="e">
        <f>AND(#REF!,"AAAAAH+v3co=")</f>
        <v>#REF!</v>
      </c>
      <c r="GV5" t="e">
        <f>AND(#REF!,"AAAAAH+v3cs=")</f>
        <v>#REF!</v>
      </c>
      <c r="GW5" t="e">
        <f>AND(#REF!,"AAAAAH+v3cw=")</f>
        <v>#REF!</v>
      </c>
      <c r="GX5" t="e">
        <f>AND(#REF!,"AAAAAH+v3c0=")</f>
        <v>#REF!</v>
      </c>
      <c r="GY5" t="e">
        <f>AND(#REF!,"AAAAAH+v3c4=")</f>
        <v>#REF!</v>
      </c>
      <c r="GZ5" t="e">
        <f>AND(#REF!,"AAAAAH+v3c8=")</f>
        <v>#REF!</v>
      </c>
      <c r="HA5" t="e">
        <f>AND(#REF!,"AAAAAH+v3dA=")</f>
        <v>#REF!</v>
      </c>
      <c r="HB5" t="e">
        <f>AND(#REF!,"AAAAAH+v3dE=")</f>
        <v>#REF!</v>
      </c>
      <c r="HC5" t="e">
        <f>AND(#REF!,"AAAAAH+v3dI=")</f>
        <v>#REF!</v>
      </c>
      <c r="HD5" t="e">
        <f>AND(#REF!,"AAAAAH+v3dM=")</f>
        <v>#REF!</v>
      </c>
      <c r="HE5" t="e">
        <f>AND(#REF!,"AAAAAH+v3dQ=")</f>
        <v>#REF!</v>
      </c>
      <c r="HF5" t="e">
        <f>AND(#REF!,"AAAAAH+v3dU=")</f>
        <v>#REF!</v>
      </c>
      <c r="HG5" t="e">
        <f>AND(#REF!,"AAAAAH+v3dY=")</f>
        <v>#REF!</v>
      </c>
      <c r="HH5" t="e">
        <f>AND(#REF!,"AAAAAH+v3dc=")</f>
        <v>#REF!</v>
      </c>
      <c r="HI5" t="e">
        <f>AND(#REF!,"AAAAAH+v3dg=")</f>
        <v>#REF!</v>
      </c>
      <c r="HJ5" t="e">
        <f>AND(#REF!,"AAAAAH+v3dk=")</f>
        <v>#REF!</v>
      </c>
      <c r="HK5" t="e">
        <f>IF(#REF!,"AAAAAH+v3do=",0)</f>
        <v>#REF!</v>
      </c>
      <c r="HL5" t="e">
        <f>AND(#REF!,"AAAAAH+v3ds=")</f>
        <v>#REF!</v>
      </c>
      <c r="HM5" t="e">
        <f>AND(#REF!,"AAAAAH+v3dw=")</f>
        <v>#REF!</v>
      </c>
      <c r="HN5" t="e">
        <f>AND(#REF!,"AAAAAH+v3d0=")</f>
        <v>#REF!</v>
      </c>
      <c r="HO5" t="e">
        <f>AND(#REF!,"AAAAAH+v3d4=")</f>
        <v>#REF!</v>
      </c>
      <c r="HP5" t="e">
        <f>AND(#REF!,"AAAAAH+v3d8=")</f>
        <v>#REF!</v>
      </c>
      <c r="HQ5" t="e">
        <f>AND(#REF!,"AAAAAH+v3eA=")</f>
        <v>#REF!</v>
      </c>
      <c r="HR5" t="e">
        <f>AND(#REF!,"AAAAAH+v3eE=")</f>
        <v>#REF!</v>
      </c>
      <c r="HS5" t="e">
        <f>AND(#REF!,"AAAAAH+v3eI=")</f>
        <v>#REF!</v>
      </c>
      <c r="HT5" t="e">
        <f>AND(#REF!,"AAAAAH+v3eM=")</f>
        <v>#REF!</v>
      </c>
      <c r="HU5" t="e">
        <f>AND(#REF!,"AAAAAH+v3eQ=")</f>
        <v>#REF!</v>
      </c>
      <c r="HV5" t="e">
        <f>AND(#REF!,"AAAAAH+v3eU=")</f>
        <v>#REF!</v>
      </c>
      <c r="HW5" t="e">
        <f>AND(#REF!,"AAAAAH+v3eY=")</f>
        <v>#REF!</v>
      </c>
      <c r="HX5" t="e">
        <f>AND(#REF!,"AAAAAH+v3ec=")</f>
        <v>#REF!</v>
      </c>
      <c r="HY5" t="e">
        <f>AND(#REF!,"AAAAAH+v3eg=")</f>
        <v>#REF!</v>
      </c>
      <c r="HZ5" t="e">
        <f>AND(#REF!,"AAAAAH+v3ek=")</f>
        <v>#REF!</v>
      </c>
      <c r="IA5" t="e">
        <f>AND(#REF!,"AAAAAH+v3eo=")</f>
        <v>#REF!</v>
      </c>
      <c r="IB5" t="e">
        <f>AND(#REF!,"AAAAAH+v3es=")</f>
        <v>#REF!</v>
      </c>
      <c r="IC5" t="e">
        <f>AND(#REF!,"AAAAAH+v3ew=")</f>
        <v>#REF!</v>
      </c>
      <c r="ID5" t="e">
        <f>AND(#REF!,"AAAAAH+v3e0=")</f>
        <v>#REF!</v>
      </c>
      <c r="IE5" t="e">
        <f>AND(#REF!,"AAAAAH+v3e4=")</f>
        <v>#REF!</v>
      </c>
      <c r="IF5" t="e">
        <f>AND(#REF!,"AAAAAH+v3e8=")</f>
        <v>#REF!</v>
      </c>
      <c r="IG5" t="e">
        <f>AND(#REF!,"AAAAAH+v3fA=")</f>
        <v>#REF!</v>
      </c>
      <c r="IH5" t="e">
        <f>AND(#REF!,"AAAAAH+v3fE=")</f>
        <v>#REF!</v>
      </c>
      <c r="II5" t="e">
        <f>AND(#REF!,"AAAAAH+v3fI=")</f>
        <v>#REF!</v>
      </c>
      <c r="IJ5" t="e">
        <f>AND(#REF!,"AAAAAH+v3fM=")</f>
        <v>#REF!</v>
      </c>
      <c r="IK5" t="e">
        <f>AND(#REF!,"AAAAAH+v3fQ=")</f>
        <v>#REF!</v>
      </c>
      <c r="IL5" t="e">
        <f>IF(#REF!,"AAAAAH+v3fU=",0)</f>
        <v>#REF!</v>
      </c>
      <c r="IM5" t="e">
        <f>AND(#REF!,"AAAAAH+v3fY=")</f>
        <v>#REF!</v>
      </c>
      <c r="IN5" t="e">
        <f>AND(#REF!,"AAAAAH+v3fc=")</f>
        <v>#REF!</v>
      </c>
      <c r="IO5" t="e">
        <f>AND(#REF!,"AAAAAH+v3fg=")</f>
        <v>#REF!</v>
      </c>
      <c r="IP5" t="e">
        <f>AND(#REF!,"AAAAAH+v3fk=")</f>
        <v>#REF!</v>
      </c>
      <c r="IQ5" t="e">
        <f>AND(#REF!,"AAAAAH+v3fo=")</f>
        <v>#REF!</v>
      </c>
      <c r="IR5" t="e">
        <f>AND(#REF!,"AAAAAH+v3fs=")</f>
        <v>#REF!</v>
      </c>
      <c r="IS5" t="e">
        <f>AND(#REF!,"AAAAAH+v3fw=")</f>
        <v>#REF!</v>
      </c>
      <c r="IT5" t="e">
        <f>AND(#REF!,"AAAAAH+v3f0=")</f>
        <v>#REF!</v>
      </c>
      <c r="IU5" t="e">
        <f>AND(#REF!,"AAAAAH+v3f4=")</f>
        <v>#REF!</v>
      </c>
      <c r="IV5" t="e">
        <f>AND(#REF!,"AAAAAH+v3f8=")</f>
        <v>#REF!</v>
      </c>
    </row>
    <row r="6" spans="1:256" x14ac:dyDescent="0.25">
      <c r="A6" t="e">
        <f>AND(#REF!,"AAAAAH+79wA=")</f>
        <v>#REF!</v>
      </c>
      <c r="B6" t="e">
        <f>AND(#REF!,"AAAAAH+79wE=")</f>
        <v>#REF!</v>
      </c>
      <c r="C6" t="e">
        <f>AND(#REF!,"AAAAAH+79wI=")</f>
        <v>#REF!</v>
      </c>
      <c r="D6" t="e">
        <f>AND(#REF!,"AAAAAH+79wM=")</f>
        <v>#REF!</v>
      </c>
      <c r="E6" t="e">
        <f>AND(#REF!,"AAAAAH+79wQ=")</f>
        <v>#REF!</v>
      </c>
      <c r="F6" t="e">
        <f>AND(#REF!,"AAAAAH+79wU=")</f>
        <v>#REF!</v>
      </c>
      <c r="G6" t="e">
        <f>AND(#REF!,"AAAAAH+79wY=")</f>
        <v>#REF!</v>
      </c>
      <c r="H6" t="e">
        <f>AND(#REF!,"AAAAAH+79wc=")</f>
        <v>#REF!</v>
      </c>
      <c r="I6" t="e">
        <f>AND(#REF!,"AAAAAH+79wg=")</f>
        <v>#REF!</v>
      </c>
      <c r="J6" t="e">
        <f>AND(#REF!,"AAAAAH+79wk=")</f>
        <v>#REF!</v>
      </c>
      <c r="K6" t="e">
        <f>AND(#REF!,"AAAAAH+79wo=")</f>
        <v>#REF!</v>
      </c>
      <c r="L6" t="e">
        <f>AND(#REF!,"AAAAAH+79ws=")</f>
        <v>#REF!</v>
      </c>
      <c r="M6" t="e">
        <f>AND(#REF!,"AAAAAH+79ww=")</f>
        <v>#REF!</v>
      </c>
      <c r="N6" t="e">
        <f>AND(#REF!,"AAAAAH+79w0=")</f>
        <v>#REF!</v>
      </c>
      <c r="O6" t="e">
        <f>AND(#REF!,"AAAAAH+79w4=")</f>
        <v>#REF!</v>
      </c>
      <c r="P6" t="e">
        <f>AND(#REF!,"AAAAAH+79w8=")</f>
        <v>#REF!</v>
      </c>
      <c r="Q6" t="e">
        <f>IF(#REF!,"AAAAAH+79xA=",0)</f>
        <v>#REF!</v>
      </c>
      <c r="R6" t="e">
        <f>AND(#REF!,"AAAAAH+79xE=")</f>
        <v>#REF!</v>
      </c>
      <c r="S6" t="e">
        <f>AND(#REF!,"AAAAAH+79xI=")</f>
        <v>#REF!</v>
      </c>
      <c r="T6" t="e">
        <f>AND(#REF!,"AAAAAH+79xM=")</f>
        <v>#REF!</v>
      </c>
      <c r="U6" t="e">
        <f>AND(#REF!,"AAAAAH+79xQ=")</f>
        <v>#REF!</v>
      </c>
      <c r="V6" t="e">
        <f>AND(#REF!,"AAAAAH+79xU=")</f>
        <v>#REF!</v>
      </c>
      <c r="W6" t="e">
        <f>AND(#REF!,"AAAAAH+79xY=")</f>
        <v>#REF!</v>
      </c>
      <c r="X6" t="e">
        <f>AND(#REF!,"AAAAAH+79xc=")</f>
        <v>#REF!</v>
      </c>
      <c r="Y6" t="e">
        <f>AND(#REF!,"AAAAAH+79xg=")</f>
        <v>#REF!</v>
      </c>
      <c r="Z6" t="e">
        <f>AND(#REF!,"AAAAAH+79xk=")</f>
        <v>#REF!</v>
      </c>
      <c r="AA6" t="e">
        <f>AND(#REF!,"AAAAAH+79xo=")</f>
        <v>#REF!</v>
      </c>
      <c r="AB6" t="e">
        <f>AND(#REF!,"AAAAAH+79xs=")</f>
        <v>#REF!</v>
      </c>
      <c r="AC6" t="e">
        <f>AND(#REF!,"AAAAAH+79xw=")</f>
        <v>#REF!</v>
      </c>
      <c r="AD6" t="e">
        <f>AND(#REF!,"AAAAAH+79x0=")</f>
        <v>#REF!</v>
      </c>
      <c r="AE6" t="e">
        <f>AND(#REF!,"AAAAAH+79x4=")</f>
        <v>#REF!</v>
      </c>
      <c r="AF6" t="e">
        <f>AND(#REF!,"AAAAAH+79x8=")</f>
        <v>#REF!</v>
      </c>
      <c r="AG6" t="e">
        <f>AND(#REF!,"AAAAAH+79yA=")</f>
        <v>#REF!</v>
      </c>
      <c r="AH6" t="e">
        <f>AND(#REF!,"AAAAAH+79yE=")</f>
        <v>#REF!</v>
      </c>
      <c r="AI6" t="e">
        <f>AND(#REF!,"AAAAAH+79yI=")</f>
        <v>#REF!</v>
      </c>
      <c r="AJ6" t="e">
        <f>AND(#REF!,"AAAAAH+79yM=")</f>
        <v>#REF!</v>
      </c>
      <c r="AK6" t="e">
        <f>AND(#REF!,"AAAAAH+79yQ=")</f>
        <v>#REF!</v>
      </c>
      <c r="AL6" t="e">
        <f>AND(#REF!,"AAAAAH+79yU=")</f>
        <v>#REF!</v>
      </c>
      <c r="AM6" t="e">
        <f>AND(#REF!,"AAAAAH+79yY=")</f>
        <v>#REF!</v>
      </c>
      <c r="AN6" t="e">
        <f>AND(#REF!,"AAAAAH+79yc=")</f>
        <v>#REF!</v>
      </c>
      <c r="AO6" t="e">
        <f>AND(#REF!,"AAAAAH+79yg=")</f>
        <v>#REF!</v>
      </c>
      <c r="AP6" t="e">
        <f>AND(#REF!,"AAAAAH+79yk=")</f>
        <v>#REF!</v>
      </c>
      <c r="AQ6" t="e">
        <f>AND(#REF!,"AAAAAH+79yo=")</f>
        <v>#REF!</v>
      </c>
      <c r="AR6" t="e">
        <f>IF(#REF!,"AAAAAH+79ys=",0)</f>
        <v>#REF!</v>
      </c>
      <c r="AS6" t="e">
        <f>AND(#REF!,"AAAAAH+79yw=")</f>
        <v>#REF!</v>
      </c>
      <c r="AT6" t="e">
        <f>AND(#REF!,"AAAAAH+79y0=")</f>
        <v>#REF!</v>
      </c>
      <c r="AU6" t="e">
        <f>AND(#REF!,"AAAAAH+79y4=")</f>
        <v>#REF!</v>
      </c>
      <c r="AV6" t="e">
        <f>AND(#REF!,"AAAAAH+79y8=")</f>
        <v>#REF!</v>
      </c>
      <c r="AW6" t="e">
        <f>AND(#REF!,"AAAAAH+79zA=")</f>
        <v>#REF!</v>
      </c>
      <c r="AX6" t="e">
        <f>AND(#REF!,"AAAAAH+79zE=")</f>
        <v>#REF!</v>
      </c>
      <c r="AY6" t="e">
        <f>AND(#REF!,"AAAAAH+79zI=")</f>
        <v>#REF!</v>
      </c>
      <c r="AZ6" t="e">
        <f>AND(#REF!,"AAAAAH+79zM=")</f>
        <v>#REF!</v>
      </c>
      <c r="BA6" t="e">
        <f>AND(#REF!,"AAAAAH+79zQ=")</f>
        <v>#REF!</v>
      </c>
      <c r="BB6" t="e">
        <f>AND(#REF!,"AAAAAH+79zU=")</f>
        <v>#REF!</v>
      </c>
      <c r="BC6" t="e">
        <f>AND(#REF!,"AAAAAH+79zY=")</f>
        <v>#REF!</v>
      </c>
      <c r="BD6" t="e">
        <f>AND(#REF!,"AAAAAH+79zc=")</f>
        <v>#REF!</v>
      </c>
      <c r="BE6" t="e">
        <f>AND(#REF!,"AAAAAH+79zg=")</f>
        <v>#REF!</v>
      </c>
      <c r="BF6" t="e">
        <f>AND(#REF!,"AAAAAH+79zk=")</f>
        <v>#REF!</v>
      </c>
      <c r="BG6" t="e">
        <f>AND(#REF!,"AAAAAH+79zo=")</f>
        <v>#REF!</v>
      </c>
      <c r="BH6" t="e">
        <f>AND(#REF!,"AAAAAH+79zs=")</f>
        <v>#REF!</v>
      </c>
      <c r="BI6" t="e">
        <f>AND(#REF!,"AAAAAH+79zw=")</f>
        <v>#REF!</v>
      </c>
      <c r="BJ6" t="e">
        <f>AND(#REF!,"AAAAAH+79z0=")</f>
        <v>#REF!</v>
      </c>
      <c r="BK6" t="e">
        <f>AND(#REF!,"AAAAAH+79z4=")</f>
        <v>#REF!</v>
      </c>
      <c r="BL6" t="e">
        <f>AND(#REF!,"AAAAAH+79z8=")</f>
        <v>#REF!</v>
      </c>
      <c r="BM6" t="e">
        <f>AND(#REF!,"AAAAAH+790A=")</f>
        <v>#REF!</v>
      </c>
      <c r="BN6" t="e">
        <f>AND(#REF!,"AAAAAH+790E=")</f>
        <v>#REF!</v>
      </c>
      <c r="BO6" t="e">
        <f>AND(#REF!,"AAAAAH+790I=")</f>
        <v>#REF!</v>
      </c>
      <c r="BP6" t="e">
        <f>AND(#REF!,"AAAAAH+790M=")</f>
        <v>#REF!</v>
      </c>
      <c r="BQ6" t="e">
        <f>AND(#REF!,"AAAAAH+790Q=")</f>
        <v>#REF!</v>
      </c>
      <c r="BR6" t="e">
        <f>AND(#REF!,"AAAAAH+790U=")</f>
        <v>#REF!</v>
      </c>
      <c r="BS6" t="e">
        <f>IF(#REF!,"AAAAAH+790Y=",0)</f>
        <v>#REF!</v>
      </c>
      <c r="BT6" t="e">
        <f>AND(#REF!,"AAAAAH+790c=")</f>
        <v>#REF!</v>
      </c>
      <c r="BU6" t="e">
        <f>AND(#REF!,"AAAAAH+790g=")</f>
        <v>#REF!</v>
      </c>
      <c r="BV6" t="e">
        <f>AND(#REF!,"AAAAAH+790k=")</f>
        <v>#REF!</v>
      </c>
      <c r="BW6" t="e">
        <f>AND(#REF!,"AAAAAH+790o=")</f>
        <v>#REF!</v>
      </c>
      <c r="BX6" t="e">
        <f>AND(#REF!,"AAAAAH+790s=")</f>
        <v>#REF!</v>
      </c>
      <c r="BY6" t="e">
        <f>AND(#REF!,"AAAAAH+790w=")</f>
        <v>#REF!</v>
      </c>
      <c r="BZ6" t="e">
        <f>AND(#REF!,"AAAAAH+7900=")</f>
        <v>#REF!</v>
      </c>
      <c r="CA6" t="e">
        <f>AND(#REF!,"AAAAAH+7904=")</f>
        <v>#REF!</v>
      </c>
      <c r="CB6" t="e">
        <f>AND(#REF!,"AAAAAH+7908=")</f>
        <v>#REF!</v>
      </c>
      <c r="CC6" t="e">
        <f>AND(#REF!,"AAAAAH+791A=")</f>
        <v>#REF!</v>
      </c>
      <c r="CD6" t="e">
        <f>AND(#REF!,"AAAAAH+791E=")</f>
        <v>#REF!</v>
      </c>
      <c r="CE6" t="e">
        <f>AND(#REF!,"AAAAAH+791I=")</f>
        <v>#REF!</v>
      </c>
      <c r="CF6" t="e">
        <f>AND(#REF!,"AAAAAH+791M=")</f>
        <v>#REF!</v>
      </c>
      <c r="CG6" t="e">
        <f>AND(#REF!,"AAAAAH+791Q=")</f>
        <v>#REF!</v>
      </c>
      <c r="CH6" t="e">
        <f>AND(#REF!,"AAAAAH+791U=")</f>
        <v>#REF!</v>
      </c>
      <c r="CI6" t="e">
        <f>AND(#REF!,"AAAAAH+791Y=")</f>
        <v>#REF!</v>
      </c>
      <c r="CJ6" t="e">
        <f>AND(#REF!,"AAAAAH+791c=")</f>
        <v>#REF!</v>
      </c>
      <c r="CK6" t="e">
        <f>AND(#REF!,"AAAAAH+791g=")</f>
        <v>#REF!</v>
      </c>
      <c r="CL6" t="e">
        <f>AND(#REF!,"AAAAAH+791k=")</f>
        <v>#REF!</v>
      </c>
      <c r="CM6" t="e">
        <f>AND(#REF!,"AAAAAH+791o=")</f>
        <v>#REF!</v>
      </c>
      <c r="CN6" t="e">
        <f>AND(#REF!,"AAAAAH+791s=")</f>
        <v>#REF!</v>
      </c>
      <c r="CO6" t="e">
        <f>AND(#REF!,"AAAAAH+791w=")</f>
        <v>#REF!</v>
      </c>
      <c r="CP6" t="e">
        <f>AND(#REF!,"AAAAAH+7910=")</f>
        <v>#REF!</v>
      </c>
      <c r="CQ6" t="e">
        <f>AND(#REF!,"AAAAAH+7914=")</f>
        <v>#REF!</v>
      </c>
      <c r="CR6" t="e">
        <f>AND(#REF!,"AAAAAH+7918=")</f>
        <v>#REF!</v>
      </c>
      <c r="CS6" t="e">
        <f>AND(#REF!,"AAAAAH+792A=")</f>
        <v>#REF!</v>
      </c>
      <c r="CT6" t="e">
        <f>IF(#REF!,"AAAAAH+792E=",0)</f>
        <v>#REF!</v>
      </c>
      <c r="CU6" t="e">
        <f>AND(#REF!,"AAAAAH+792I=")</f>
        <v>#REF!</v>
      </c>
      <c r="CV6" t="e">
        <f>AND(#REF!,"AAAAAH+792M=")</f>
        <v>#REF!</v>
      </c>
      <c r="CW6" t="e">
        <f>AND(#REF!,"AAAAAH+792Q=")</f>
        <v>#REF!</v>
      </c>
      <c r="CX6" t="e">
        <f>AND(#REF!,"AAAAAH+792U=")</f>
        <v>#REF!</v>
      </c>
      <c r="CY6" t="e">
        <f>AND(#REF!,"AAAAAH+792Y=")</f>
        <v>#REF!</v>
      </c>
      <c r="CZ6" t="e">
        <f>AND(#REF!,"AAAAAH+792c=")</f>
        <v>#REF!</v>
      </c>
      <c r="DA6" t="e">
        <f>AND(#REF!,"AAAAAH+792g=")</f>
        <v>#REF!</v>
      </c>
      <c r="DB6" t="e">
        <f>AND(#REF!,"AAAAAH+792k=")</f>
        <v>#REF!</v>
      </c>
      <c r="DC6" t="e">
        <f>AND(#REF!,"AAAAAH+792o=")</f>
        <v>#REF!</v>
      </c>
      <c r="DD6" t="e">
        <f>AND(#REF!,"AAAAAH+792s=")</f>
        <v>#REF!</v>
      </c>
      <c r="DE6" t="e">
        <f>AND(#REF!,"AAAAAH+792w=")</f>
        <v>#REF!</v>
      </c>
      <c r="DF6" t="e">
        <f>AND(#REF!,"AAAAAH+7920=")</f>
        <v>#REF!</v>
      </c>
      <c r="DG6" t="e">
        <f>AND(#REF!,"AAAAAH+7924=")</f>
        <v>#REF!</v>
      </c>
      <c r="DH6" t="e">
        <f>AND(#REF!,"AAAAAH+7928=")</f>
        <v>#REF!</v>
      </c>
      <c r="DI6" t="e">
        <f>AND(#REF!,"AAAAAH+793A=")</f>
        <v>#REF!</v>
      </c>
      <c r="DJ6" t="e">
        <f>AND(#REF!,"AAAAAH+793E=")</f>
        <v>#REF!</v>
      </c>
      <c r="DK6" t="e">
        <f>AND(#REF!,"AAAAAH+793I=")</f>
        <v>#REF!</v>
      </c>
      <c r="DL6" t="e">
        <f>AND(#REF!,"AAAAAH+793M=")</f>
        <v>#REF!</v>
      </c>
      <c r="DM6" t="e">
        <f>AND(#REF!,"AAAAAH+793Q=")</f>
        <v>#REF!</v>
      </c>
      <c r="DN6" t="e">
        <f>AND(#REF!,"AAAAAH+793U=")</f>
        <v>#REF!</v>
      </c>
      <c r="DO6" t="e">
        <f>AND(#REF!,"AAAAAH+793Y=")</f>
        <v>#REF!</v>
      </c>
      <c r="DP6" t="e">
        <f>AND(#REF!,"AAAAAH+793c=")</f>
        <v>#REF!</v>
      </c>
      <c r="DQ6" t="e">
        <f>AND(#REF!,"AAAAAH+793g=")</f>
        <v>#REF!</v>
      </c>
      <c r="DR6" t="e">
        <f>AND(#REF!,"AAAAAH+793k=")</f>
        <v>#REF!</v>
      </c>
      <c r="DS6" t="e">
        <f>AND(#REF!,"AAAAAH+793o=")</f>
        <v>#REF!</v>
      </c>
      <c r="DT6" t="e">
        <f>AND(#REF!,"AAAAAH+793s=")</f>
        <v>#REF!</v>
      </c>
      <c r="DU6" t="e">
        <f>IF(#REF!,"AAAAAH+793w=",0)</f>
        <v>#REF!</v>
      </c>
      <c r="DV6" t="e">
        <f>AND(#REF!,"AAAAAH+7930=")</f>
        <v>#REF!</v>
      </c>
      <c r="DW6" t="e">
        <f>AND(#REF!,"AAAAAH+7934=")</f>
        <v>#REF!</v>
      </c>
      <c r="DX6" t="e">
        <f>AND(#REF!,"AAAAAH+7938=")</f>
        <v>#REF!</v>
      </c>
      <c r="DY6" t="e">
        <f>AND(#REF!,"AAAAAH+794A=")</f>
        <v>#REF!</v>
      </c>
      <c r="DZ6" t="e">
        <f>AND(#REF!,"AAAAAH+794E=")</f>
        <v>#REF!</v>
      </c>
      <c r="EA6" t="e">
        <f>AND(#REF!,"AAAAAH+794I=")</f>
        <v>#REF!</v>
      </c>
      <c r="EB6" t="e">
        <f>AND(#REF!,"AAAAAH+794M=")</f>
        <v>#REF!</v>
      </c>
      <c r="EC6" t="e">
        <f>AND(#REF!,"AAAAAH+794Q=")</f>
        <v>#REF!</v>
      </c>
      <c r="ED6" t="e">
        <f>AND(#REF!,"AAAAAH+794U=")</f>
        <v>#REF!</v>
      </c>
      <c r="EE6" t="e">
        <f>AND(#REF!,"AAAAAH+794Y=")</f>
        <v>#REF!</v>
      </c>
      <c r="EF6" t="e">
        <f>AND(#REF!,"AAAAAH+794c=")</f>
        <v>#REF!</v>
      </c>
      <c r="EG6" t="e">
        <f>AND(#REF!,"AAAAAH+794g=")</f>
        <v>#REF!</v>
      </c>
      <c r="EH6" t="e">
        <f>AND(#REF!,"AAAAAH+794k=")</f>
        <v>#REF!</v>
      </c>
      <c r="EI6" t="e">
        <f>AND(#REF!,"AAAAAH+794o=")</f>
        <v>#REF!</v>
      </c>
      <c r="EJ6" t="e">
        <f>AND(#REF!,"AAAAAH+794s=")</f>
        <v>#REF!</v>
      </c>
      <c r="EK6" t="e">
        <f>AND(#REF!,"AAAAAH+794w=")</f>
        <v>#REF!</v>
      </c>
      <c r="EL6" t="e">
        <f>AND(#REF!,"AAAAAH+7940=")</f>
        <v>#REF!</v>
      </c>
      <c r="EM6" t="e">
        <f>AND(#REF!,"AAAAAH+7944=")</f>
        <v>#REF!</v>
      </c>
      <c r="EN6" t="e">
        <f>AND(#REF!,"AAAAAH+7948=")</f>
        <v>#REF!</v>
      </c>
      <c r="EO6" t="e">
        <f>AND(#REF!,"AAAAAH+795A=")</f>
        <v>#REF!</v>
      </c>
      <c r="EP6" t="e">
        <f>AND(#REF!,"AAAAAH+795E=")</f>
        <v>#REF!</v>
      </c>
      <c r="EQ6" t="e">
        <f>AND(#REF!,"AAAAAH+795I=")</f>
        <v>#REF!</v>
      </c>
      <c r="ER6" t="e">
        <f>AND(#REF!,"AAAAAH+795M=")</f>
        <v>#REF!</v>
      </c>
      <c r="ES6" t="e">
        <f>AND(#REF!,"AAAAAH+795Q=")</f>
        <v>#REF!</v>
      </c>
      <c r="ET6" t="e">
        <f>AND(#REF!,"AAAAAH+795U=")</f>
        <v>#REF!</v>
      </c>
      <c r="EU6" t="e">
        <f>AND(#REF!,"AAAAAH+795Y=")</f>
        <v>#REF!</v>
      </c>
      <c r="EV6" t="e">
        <f>IF(#REF!,"AAAAAH+795c=",0)</f>
        <v>#REF!</v>
      </c>
      <c r="EW6" t="e">
        <f>AND(#REF!,"AAAAAH+795g=")</f>
        <v>#REF!</v>
      </c>
      <c r="EX6" t="e">
        <f>AND(#REF!,"AAAAAH+795k=")</f>
        <v>#REF!</v>
      </c>
      <c r="EY6" t="e">
        <f>AND(#REF!,"AAAAAH+795o=")</f>
        <v>#REF!</v>
      </c>
      <c r="EZ6" t="e">
        <f>AND(#REF!,"AAAAAH+795s=")</f>
        <v>#REF!</v>
      </c>
      <c r="FA6" t="e">
        <f>AND(#REF!,"AAAAAH+795w=")</f>
        <v>#REF!</v>
      </c>
      <c r="FB6" t="e">
        <f>AND(#REF!,"AAAAAH+7950=")</f>
        <v>#REF!</v>
      </c>
      <c r="FC6" t="e">
        <f>AND(#REF!,"AAAAAH+7954=")</f>
        <v>#REF!</v>
      </c>
      <c r="FD6" t="e">
        <f>AND(#REF!,"AAAAAH+7958=")</f>
        <v>#REF!</v>
      </c>
      <c r="FE6" t="e">
        <f>AND(#REF!,"AAAAAH+796A=")</f>
        <v>#REF!</v>
      </c>
      <c r="FF6" t="e">
        <f>AND(#REF!,"AAAAAH+796E=")</f>
        <v>#REF!</v>
      </c>
      <c r="FG6" t="e">
        <f>AND(#REF!,"AAAAAH+796I=")</f>
        <v>#REF!</v>
      </c>
      <c r="FH6" t="e">
        <f>AND(#REF!,"AAAAAH+796M=")</f>
        <v>#REF!</v>
      </c>
      <c r="FI6" t="e">
        <f>AND(#REF!,"AAAAAH+796Q=")</f>
        <v>#REF!</v>
      </c>
      <c r="FJ6" t="e">
        <f>AND(#REF!,"AAAAAH+796U=")</f>
        <v>#REF!</v>
      </c>
      <c r="FK6" t="e">
        <f>AND(#REF!,"AAAAAH+796Y=")</f>
        <v>#REF!</v>
      </c>
      <c r="FL6" t="e">
        <f>AND(#REF!,"AAAAAH+796c=")</f>
        <v>#REF!</v>
      </c>
      <c r="FM6" t="e">
        <f>AND(#REF!,"AAAAAH+796g=")</f>
        <v>#REF!</v>
      </c>
      <c r="FN6" t="e">
        <f>AND(#REF!,"AAAAAH+796k=")</f>
        <v>#REF!</v>
      </c>
      <c r="FO6" t="e">
        <f>AND(#REF!,"AAAAAH+796o=")</f>
        <v>#REF!</v>
      </c>
      <c r="FP6" t="e">
        <f>AND(#REF!,"AAAAAH+796s=")</f>
        <v>#REF!</v>
      </c>
      <c r="FQ6" t="e">
        <f>AND(#REF!,"AAAAAH+796w=")</f>
        <v>#REF!</v>
      </c>
      <c r="FR6" t="e">
        <f>AND(#REF!,"AAAAAH+7960=")</f>
        <v>#REF!</v>
      </c>
      <c r="FS6" t="e">
        <f>AND(#REF!,"AAAAAH+7964=")</f>
        <v>#REF!</v>
      </c>
      <c r="FT6" t="e">
        <f>AND(#REF!,"AAAAAH+7968=")</f>
        <v>#REF!</v>
      </c>
      <c r="FU6" t="e">
        <f>AND(#REF!,"AAAAAH+797A=")</f>
        <v>#REF!</v>
      </c>
      <c r="FV6" t="e">
        <f>AND(#REF!,"AAAAAH+797E=")</f>
        <v>#REF!</v>
      </c>
      <c r="FW6" t="e">
        <f>IF(#REF!,"AAAAAH+797I=",0)</f>
        <v>#REF!</v>
      </c>
      <c r="FX6" t="e">
        <f>AND(#REF!,"AAAAAH+797M=")</f>
        <v>#REF!</v>
      </c>
      <c r="FY6" t="e">
        <f>AND(#REF!,"AAAAAH+797Q=")</f>
        <v>#REF!</v>
      </c>
      <c r="FZ6" t="e">
        <f>AND(#REF!,"AAAAAH+797U=")</f>
        <v>#REF!</v>
      </c>
      <c r="GA6" t="e">
        <f>AND(#REF!,"AAAAAH+797Y=")</f>
        <v>#REF!</v>
      </c>
      <c r="GB6" t="e">
        <f>AND(#REF!,"AAAAAH+797c=")</f>
        <v>#REF!</v>
      </c>
      <c r="GC6" t="e">
        <f>AND(#REF!,"AAAAAH+797g=")</f>
        <v>#REF!</v>
      </c>
      <c r="GD6" t="e">
        <f>AND(#REF!,"AAAAAH+797k=")</f>
        <v>#REF!</v>
      </c>
      <c r="GE6" t="e">
        <f>AND(#REF!,"AAAAAH+797o=")</f>
        <v>#REF!</v>
      </c>
      <c r="GF6" t="e">
        <f>AND(#REF!,"AAAAAH+797s=")</f>
        <v>#REF!</v>
      </c>
      <c r="GG6" t="e">
        <f>AND(#REF!,"AAAAAH+797w=")</f>
        <v>#REF!</v>
      </c>
      <c r="GH6" t="e">
        <f>AND(#REF!,"AAAAAH+7970=")</f>
        <v>#REF!</v>
      </c>
      <c r="GI6" t="e">
        <f>AND(#REF!,"AAAAAH+7974=")</f>
        <v>#REF!</v>
      </c>
      <c r="GJ6" t="e">
        <f>AND(#REF!,"AAAAAH+7978=")</f>
        <v>#REF!</v>
      </c>
      <c r="GK6" t="e">
        <f>AND(#REF!,"AAAAAH+798A=")</f>
        <v>#REF!</v>
      </c>
      <c r="GL6" t="e">
        <f>AND(#REF!,"AAAAAH+798E=")</f>
        <v>#REF!</v>
      </c>
      <c r="GM6" t="e">
        <f>AND(#REF!,"AAAAAH+798I=")</f>
        <v>#REF!</v>
      </c>
      <c r="GN6" t="e">
        <f>AND(#REF!,"AAAAAH+798M=")</f>
        <v>#REF!</v>
      </c>
      <c r="GO6" t="e">
        <f>AND(#REF!,"AAAAAH+798Q=")</f>
        <v>#REF!</v>
      </c>
      <c r="GP6" t="e">
        <f>AND(#REF!,"AAAAAH+798U=")</f>
        <v>#REF!</v>
      </c>
      <c r="GQ6" t="e">
        <f>AND(#REF!,"AAAAAH+798Y=")</f>
        <v>#REF!</v>
      </c>
      <c r="GR6" t="e">
        <f>AND(#REF!,"AAAAAH+798c=")</f>
        <v>#REF!</v>
      </c>
      <c r="GS6" t="e">
        <f>AND(#REF!,"AAAAAH+798g=")</f>
        <v>#REF!</v>
      </c>
      <c r="GT6" t="e">
        <f>AND(#REF!,"AAAAAH+798k=")</f>
        <v>#REF!</v>
      </c>
      <c r="GU6" t="e">
        <f>AND(#REF!,"AAAAAH+798o=")</f>
        <v>#REF!</v>
      </c>
      <c r="GV6" t="e">
        <f>AND(#REF!,"AAAAAH+798s=")</f>
        <v>#REF!</v>
      </c>
      <c r="GW6" t="e">
        <f>AND(#REF!,"AAAAAH+798w=")</f>
        <v>#REF!</v>
      </c>
      <c r="GX6" t="e">
        <f>IF(#REF!,"AAAAAH+7980=",0)</f>
        <v>#REF!</v>
      </c>
      <c r="GY6" t="e">
        <f>AND(#REF!,"AAAAAH+7984=")</f>
        <v>#REF!</v>
      </c>
      <c r="GZ6" t="e">
        <f>AND(#REF!,"AAAAAH+7988=")</f>
        <v>#REF!</v>
      </c>
      <c r="HA6" t="e">
        <f>AND(#REF!,"AAAAAH+799A=")</f>
        <v>#REF!</v>
      </c>
      <c r="HB6" t="e">
        <f>AND(#REF!,"AAAAAH+799E=")</f>
        <v>#REF!</v>
      </c>
      <c r="HC6" t="e">
        <f>AND(#REF!,"AAAAAH+799I=")</f>
        <v>#REF!</v>
      </c>
      <c r="HD6" t="e">
        <f>AND(#REF!,"AAAAAH+799M=")</f>
        <v>#REF!</v>
      </c>
      <c r="HE6" t="e">
        <f>AND(#REF!,"AAAAAH+799Q=")</f>
        <v>#REF!</v>
      </c>
      <c r="HF6" t="e">
        <f>AND(#REF!,"AAAAAH+799U=")</f>
        <v>#REF!</v>
      </c>
      <c r="HG6" t="e">
        <f>AND(#REF!,"AAAAAH+799Y=")</f>
        <v>#REF!</v>
      </c>
      <c r="HH6" t="e">
        <f>AND(#REF!,"AAAAAH+799c=")</f>
        <v>#REF!</v>
      </c>
      <c r="HI6" t="e">
        <f>AND(#REF!,"AAAAAH+799g=")</f>
        <v>#REF!</v>
      </c>
      <c r="HJ6" t="e">
        <f>AND(#REF!,"AAAAAH+799k=")</f>
        <v>#REF!</v>
      </c>
      <c r="HK6" t="e">
        <f>AND(#REF!,"AAAAAH+799o=")</f>
        <v>#REF!</v>
      </c>
      <c r="HL6" t="e">
        <f>AND(#REF!,"AAAAAH+799s=")</f>
        <v>#REF!</v>
      </c>
      <c r="HM6" t="e">
        <f>AND(#REF!,"AAAAAH+799w=")</f>
        <v>#REF!</v>
      </c>
      <c r="HN6" t="e">
        <f>AND(#REF!,"AAAAAH+7990=")</f>
        <v>#REF!</v>
      </c>
      <c r="HO6" t="e">
        <f>AND(#REF!,"AAAAAH+7994=")</f>
        <v>#REF!</v>
      </c>
      <c r="HP6" t="e">
        <f>AND(#REF!,"AAAAAH+7998=")</f>
        <v>#REF!</v>
      </c>
      <c r="HQ6" t="e">
        <f>AND(#REF!,"AAAAAH+79+A=")</f>
        <v>#REF!</v>
      </c>
      <c r="HR6" t="e">
        <f>AND(#REF!,"AAAAAH+79+E=")</f>
        <v>#REF!</v>
      </c>
      <c r="HS6" t="e">
        <f>AND(#REF!,"AAAAAH+79+I=")</f>
        <v>#REF!</v>
      </c>
      <c r="HT6" t="e">
        <f>AND(#REF!,"AAAAAH+79+M=")</f>
        <v>#REF!</v>
      </c>
      <c r="HU6" t="e">
        <f>AND(#REF!,"AAAAAH+79+Q=")</f>
        <v>#REF!</v>
      </c>
      <c r="HV6" t="e">
        <f>AND(#REF!,"AAAAAH+79+U=")</f>
        <v>#REF!</v>
      </c>
      <c r="HW6" t="e">
        <f>AND(#REF!,"AAAAAH+79+Y=")</f>
        <v>#REF!</v>
      </c>
      <c r="HX6" t="e">
        <f>AND(#REF!,"AAAAAH+79+c=")</f>
        <v>#REF!</v>
      </c>
      <c r="HY6" t="e">
        <f>IF(#REF!,"AAAAAH+79+g=",0)</f>
        <v>#REF!</v>
      </c>
      <c r="HZ6" t="e">
        <f>AND(#REF!,"AAAAAH+79+k=")</f>
        <v>#REF!</v>
      </c>
      <c r="IA6" t="e">
        <f>AND(#REF!,"AAAAAH+79+o=")</f>
        <v>#REF!</v>
      </c>
      <c r="IB6" t="e">
        <f>AND(#REF!,"AAAAAH+79+s=")</f>
        <v>#REF!</v>
      </c>
      <c r="IC6" t="e">
        <f>AND(#REF!,"AAAAAH+79+w=")</f>
        <v>#REF!</v>
      </c>
      <c r="ID6" t="e">
        <f>AND(#REF!,"AAAAAH+79+0=")</f>
        <v>#REF!</v>
      </c>
      <c r="IE6" t="e">
        <f>AND(#REF!,"AAAAAH+79+4=")</f>
        <v>#REF!</v>
      </c>
      <c r="IF6" t="e">
        <f>AND(#REF!,"AAAAAH+79+8=")</f>
        <v>#REF!</v>
      </c>
      <c r="IG6" t="e">
        <f>AND(#REF!,"AAAAAH+79/A=")</f>
        <v>#REF!</v>
      </c>
      <c r="IH6" t="e">
        <f>AND(#REF!,"AAAAAH+79/E=")</f>
        <v>#REF!</v>
      </c>
      <c r="II6" t="e">
        <f>AND(#REF!,"AAAAAH+79/I=")</f>
        <v>#REF!</v>
      </c>
      <c r="IJ6" t="e">
        <f>AND(#REF!,"AAAAAH+79/M=")</f>
        <v>#REF!</v>
      </c>
      <c r="IK6" t="e">
        <f>AND(#REF!,"AAAAAH+79/Q=")</f>
        <v>#REF!</v>
      </c>
      <c r="IL6" t="e">
        <f>AND(#REF!,"AAAAAH+79/U=")</f>
        <v>#REF!</v>
      </c>
      <c r="IM6" t="e">
        <f>AND(#REF!,"AAAAAH+79/Y=")</f>
        <v>#REF!</v>
      </c>
      <c r="IN6" t="e">
        <f>AND(#REF!,"AAAAAH+79/c=")</f>
        <v>#REF!</v>
      </c>
      <c r="IO6" t="e">
        <f>AND(#REF!,"AAAAAH+79/g=")</f>
        <v>#REF!</v>
      </c>
      <c r="IP6" t="e">
        <f>AND(#REF!,"AAAAAH+79/k=")</f>
        <v>#REF!</v>
      </c>
      <c r="IQ6" t="e">
        <f>AND(#REF!,"AAAAAH+79/o=")</f>
        <v>#REF!</v>
      </c>
      <c r="IR6" t="e">
        <f>AND(#REF!,"AAAAAH+79/s=")</f>
        <v>#REF!</v>
      </c>
      <c r="IS6" t="e">
        <f>AND(#REF!,"AAAAAH+79/w=")</f>
        <v>#REF!</v>
      </c>
      <c r="IT6" t="e">
        <f>AND(#REF!,"AAAAAH+79/0=")</f>
        <v>#REF!</v>
      </c>
      <c r="IU6" t="e">
        <f>AND(#REF!,"AAAAAH+79/4=")</f>
        <v>#REF!</v>
      </c>
      <c r="IV6" t="e">
        <f>AND(#REF!,"AAAAAH+79/8=")</f>
        <v>#REF!</v>
      </c>
    </row>
    <row r="7" spans="1:256" x14ac:dyDescent="0.25">
      <c r="A7" t="e">
        <f>AND(#REF!,"AAAAAF//ZQA=")</f>
        <v>#REF!</v>
      </c>
      <c r="B7" t="e">
        <f>AND(#REF!,"AAAAAF//ZQE=")</f>
        <v>#REF!</v>
      </c>
      <c r="C7" t="e">
        <f>AND(#REF!,"AAAAAF//ZQI=")</f>
        <v>#REF!</v>
      </c>
      <c r="D7" t="e">
        <f>IF(#REF!,"AAAAAF//ZQM=",0)</f>
        <v>#REF!</v>
      </c>
      <c r="E7" t="e">
        <f>AND(#REF!,"AAAAAF//ZQQ=")</f>
        <v>#REF!</v>
      </c>
      <c r="F7" t="e">
        <f>AND(#REF!,"AAAAAF//ZQU=")</f>
        <v>#REF!</v>
      </c>
      <c r="G7" t="e">
        <f>AND(#REF!,"AAAAAF//ZQY=")</f>
        <v>#REF!</v>
      </c>
      <c r="H7" t="e">
        <f>AND(#REF!,"AAAAAF//ZQc=")</f>
        <v>#REF!</v>
      </c>
      <c r="I7" t="e">
        <f>AND(#REF!,"AAAAAF//ZQg=")</f>
        <v>#REF!</v>
      </c>
      <c r="J7" t="e">
        <f>AND(#REF!,"AAAAAF//ZQk=")</f>
        <v>#REF!</v>
      </c>
      <c r="K7" t="e">
        <f>AND(#REF!,"AAAAAF//ZQo=")</f>
        <v>#REF!</v>
      </c>
      <c r="L7" t="e">
        <f>AND(#REF!,"AAAAAF//ZQs=")</f>
        <v>#REF!</v>
      </c>
      <c r="M7" t="e">
        <f>AND(#REF!,"AAAAAF//ZQw=")</f>
        <v>#REF!</v>
      </c>
      <c r="N7" t="e">
        <f>AND(#REF!,"AAAAAF//ZQ0=")</f>
        <v>#REF!</v>
      </c>
      <c r="O7" t="e">
        <f>AND(#REF!,"AAAAAF//ZQ4=")</f>
        <v>#REF!</v>
      </c>
      <c r="P7" t="e">
        <f>AND(#REF!,"AAAAAF//ZQ8=")</f>
        <v>#REF!</v>
      </c>
      <c r="Q7" t="e">
        <f>AND(#REF!,"AAAAAF//ZRA=")</f>
        <v>#REF!</v>
      </c>
      <c r="R7" t="e">
        <f>AND(#REF!,"AAAAAF//ZRE=")</f>
        <v>#REF!</v>
      </c>
      <c r="S7" t="e">
        <f>AND(#REF!,"AAAAAF//ZRI=")</f>
        <v>#REF!</v>
      </c>
      <c r="T7" t="e">
        <f>AND(#REF!,"AAAAAF//ZRM=")</f>
        <v>#REF!</v>
      </c>
      <c r="U7" t="e">
        <f>AND(#REF!,"AAAAAF//ZRQ=")</f>
        <v>#REF!</v>
      </c>
      <c r="V7" t="e">
        <f>AND(#REF!,"AAAAAF//ZRU=")</f>
        <v>#REF!</v>
      </c>
      <c r="W7" t="e">
        <f>AND(#REF!,"AAAAAF//ZRY=")</f>
        <v>#REF!</v>
      </c>
      <c r="X7" t="e">
        <f>AND(#REF!,"AAAAAF//ZRc=")</f>
        <v>#REF!</v>
      </c>
      <c r="Y7" t="e">
        <f>AND(#REF!,"AAAAAF//ZRg=")</f>
        <v>#REF!</v>
      </c>
      <c r="Z7" t="e">
        <f>AND(#REF!,"AAAAAF//ZRk=")</f>
        <v>#REF!</v>
      </c>
      <c r="AA7" t="e">
        <f>AND(#REF!,"AAAAAF//ZRo=")</f>
        <v>#REF!</v>
      </c>
      <c r="AB7" t="e">
        <f>AND(#REF!,"AAAAAF//ZRs=")</f>
        <v>#REF!</v>
      </c>
      <c r="AC7" t="e">
        <f>AND(#REF!,"AAAAAF//ZRw=")</f>
        <v>#REF!</v>
      </c>
      <c r="AD7" t="e">
        <f>AND(#REF!,"AAAAAF//ZR0=")</f>
        <v>#REF!</v>
      </c>
      <c r="AE7" t="e">
        <f>IF(#REF!,"AAAAAF//ZR4=",0)</f>
        <v>#REF!</v>
      </c>
      <c r="AF7" t="e">
        <f>AND(#REF!,"AAAAAF//ZR8=")</f>
        <v>#REF!</v>
      </c>
      <c r="AG7" t="e">
        <f>AND(#REF!,"AAAAAF//ZSA=")</f>
        <v>#REF!</v>
      </c>
      <c r="AH7" t="e">
        <f>AND(#REF!,"AAAAAF//ZSE=")</f>
        <v>#REF!</v>
      </c>
      <c r="AI7" t="e">
        <f>AND(#REF!,"AAAAAF//ZSI=")</f>
        <v>#REF!</v>
      </c>
      <c r="AJ7" t="e">
        <f>AND(#REF!,"AAAAAF//ZSM=")</f>
        <v>#REF!</v>
      </c>
      <c r="AK7" t="e">
        <f>AND(#REF!,"AAAAAF//ZSQ=")</f>
        <v>#REF!</v>
      </c>
      <c r="AL7" t="e">
        <f>AND(#REF!,"AAAAAF//ZSU=")</f>
        <v>#REF!</v>
      </c>
      <c r="AM7" t="e">
        <f>AND(#REF!,"AAAAAF//ZSY=")</f>
        <v>#REF!</v>
      </c>
      <c r="AN7" t="e">
        <f>AND(#REF!,"AAAAAF//ZSc=")</f>
        <v>#REF!</v>
      </c>
      <c r="AO7" t="e">
        <f>AND(#REF!,"AAAAAF//ZSg=")</f>
        <v>#REF!</v>
      </c>
      <c r="AP7" t="e">
        <f>AND(#REF!,"AAAAAF//ZSk=")</f>
        <v>#REF!</v>
      </c>
      <c r="AQ7" t="e">
        <f>AND(#REF!,"AAAAAF//ZSo=")</f>
        <v>#REF!</v>
      </c>
      <c r="AR7" t="e">
        <f>AND(#REF!,"AAAAAF//ZSs=")</f>
        <v>#REF!</v>
      </c>
      <c r="AS7" t="e">
        <f>AND(#REF!,"AAAAAF//ZSw=")</f>
        <v>#REF!</v>
      </c>
      <c r="AT7" t="e">
        <f>AND(#REF!,"AAAAAF//ZS0=")</f>
        <v>#REF!</v>
      </c>
      <c r="AU7" t="e">
        <f>AND(#REF!,"AAAAAF//ZS4=")</f>
        <v>#REF!</v>
      </c>
      <c r="AV7" t="e">
        <f>AND(#REF!,"AAAAAF//ZS8=")</f>
        <v>#REF!</v>
      </c>
      <c r="AW7" t="e">
        <f>AND(#REF!,"AAAAAF//ZTA=")</f>
        <v>#REF!</v>
      </c>
      <c r="AX7" t="e">
        <f>AND(#REF!,"AAAAAF//ZTE=")</f>
        <v>#REF!</v>
      </c>
      <c r="AY7" t="e">
        <f>AND(#REF!,"AAAAAF//ZTI=")</f>
        <v>#REF!</v>
      </c>
      <c r="AZ7" t="e">
        <f>AND(#REF!,"AAAAAF//ZTM=")</f>
        <v>#REF!</v>
      </c>
      <c r="BA7" t="e">
        <f>AND(#REF!,"AAAAAF//ZTQ=")</f>
        <v>#REF!</v>
      </c>
      <c r="BB7" t="e">
        <f>AND(#REF!,"AAAAAF//ZTU=")</f>
        <v>#REF!</v>
      </c>
      <c r="BC7" t="e">
        <f>AND(#REF!,"AAAAAF//ZTY=")</f>
        <v>#REF!</v>
      </c>
      <c r="BD7" t="e">
        <f>AND(#REF!,"AAAAAF//ZTc=")</f>
        <v>#REF!</v>
      </c>
      <c r="BE7" t="e">
        <f>AND(#REF!,"AAAAAF//ZTg=")</f>
        <v>#REF!</v>
      </c>
      <c r="BF7" t="e">
        <f>IF(#REF!,"AAAAAF//ZTk=",0)</f>
        <v>#REF!</v>
      </c>
      <c r="BG7" t="e">
        <f>AND(#REF!,"AAAAAF//ZTo=")</f>
        <v>#REF!</v>
      </c>
      <c r="BH7" t="e">
        <f>AND(#REF!,"AAAAAF//ZTs=")</f>
        <v>#REF!</v>
      </c>
      <c r="BI7" t="e">
        <f>AND(#REF!,"AAAAAF//ZTw=")</f>
        <v>#REF!</v>
      </c>
      <c r="BJ7" t="e">
        <f>AND(#REF!,"AAAAAF//ZT0=")</f>
        <v>#REF!</v>
      </c>
      <c r="BK7" t="e">
        <f>AND(#REF!,"AAAAAF//ZT4=")</f>
        <v>#REF!</v>
      </c>
      <c r="BL7" t="e">
        <f>AND(#REF!,"AAAAAF//ZT8=")</f>
        <v>#REF!</v>
      </c>
      <c r="BM7" t="e">
        <f>AND(#REF!,"AAAAAF//ZUA=")</f>
        <v>#REF!</v>
      </c>
      <c r="BN7" t="e">
        <f>AND(#REF!,"AAAAAF//ZUE=")</f>
        <v>#REF!</v>
      </c>
      <c r="BO7" t="e">
        <f>AND(#REF!,"AAAAAF//ZUI=")</f>
        <v>#REF!</v>
      </c>
      <c r="BP7" t="e">
        <f>AND(#REF!,"AAAAAF//ZUM=")</f>
        <v>#REF!</v>
      </c>
      <c r="BQ7" t="e">
        <f>AND(#REF!,"AAAAAF//ZUQ=")</f>
        <v>#REF!</v>
      </c>
      <c r="BR7" t="e">
        <f>AND(#REF!,"AAAAAF//ZUU=")</f>
        <v>#REF!</v>
      </c>
      <c r="BS7" t="e">
        <f>AND(#REF!,"AAAAAF//ZUY=")</f>
        <v>#REF!</v>
      </c>
      <c r="BT7" t="e">
        <f>AND(#REF!,"AAAAAF//ZUc=")</f>
        <v>#REF!</v>
      </c>
      <c r="BU7" t="e">
        <f>AND(#REF!,"AAAAAF//ZUg=")</f>
        <v>#REF!</v>
      </c>
      <c r="BV7" t="e">
        <f>AND(#REF!,"AAAAAF//ZUk=")</f>
        <v>#REF!</v>
      </c>
      <c r="BW7" t="e">
        <f>AND(#REF!,"AAAAAF//ZUo=")</f>
        <v>#REF!</v>
      </c>
      <c r="BX7" t="e">
        <f>AND(#REF!,"AAAAAF//ZUs=")</f>
        <v>#REF!</v>
      </c>
      <c r="BY7" t="e">
        <f>AND(#REF!,"AAAAAF//ZUw=")</f>
        <v>#REF!</v>
      </c>
      <c r="BZ7" t="e">
        <f>AND(#REF!,"AAAAAF//ZU0=")</f>
        <v>#REF!</v>
      </c>
      <c r="CA7" t="e">
        <f>AND(#REF!,"AAAAAF//ZU4=")</f>
        <v>#REF!</v>
      </c>
      <c r="CB7" t="e">
        <f>AND(#REF!,"AAAAAF//ZU8=")</f>
        <v>#REF!</v>
      </c>
      <c r="CC7" t="e">
        <f>AND(#REF!,"AAAAAF//ZVA=")</f>
        <v>#REF!</v>
      </c>
      <c r="CD7" t="e">
        <f>AND(#REF!,"AAAAAF//ZVE=")</f>
        <v>#REF!</v>
      </c>
      <c r="CE7" t="e">
        <f>AND(#REF!,"AAAAAF//ZVI=")</f>
        <v>#REF!</v>
      </c>
      <c r="CF7" t="e">
        <f>AND(#REF!,"AAAAAF//ZVM=")</f>
        <v>#REF!</v>
      </c>
      <c r="CG7" t="e">
        <f>IF(#REF!,"AAAAAF//ZVQ=",0)</f>
        <v>#REF!</v>
      </c>
      <c r="CH7" t="e">
        <f>AND(#REF!,"AAAAAF//ZVU=")</f>
        <v>#REF!</v>
      </c>
      <c r="CI7" t="e">
        <f>AND(#REF!,"AAAAAF//ZVY=")</f>
        <v>#REF!</v>
      </c>
      <c r="CJ7" t="e">
        <f>AND(#REF!,"AAAAAF//ZVc=")</f>
        <v>#REF!</v>
      </c>
      <c r="CK7" t="e">
        <f>AND(#REF!,"AAAAAF//ZVg=")</f>
        <v>#REF!</v>
      </c>
      <c r="CL7" t="e">
        <f>AND(#REF!,"AAAAAF//ZVk=")</f>
        <v>#REF!</v>
      </c>
      <c r="CM7" t="e">
        <f>AND(#REF!,"AAAAAF//ZVo=")</f>
        <v>#REF!</v>
      </c>
      <c r="CN7" t="e">
        <f>AND(#REF!,"AAAAAF//ZVs=")</f>
        <v>#REF!</v>
      </c>
      <c r="CO7" t="e">
        <f>AND(#REF!,"AAAAAF//ZVw=")</f>
        <v>#REF!</v>
      </c>
      <c r="CP7" t="e">
        <f>AND(#REF!,"AAAAAF//ZV0=")</f>
        <v>#REF!</v>
      </c>
      <c r="CQ7" t="e">
        <f>AND(#REF!,"AAAAAF//ZV4=")</f>
        <v>#REF!</v>
      </c>
      <c r="CR7" t="e">
        <f>AND(#REF!,"AAAAAF//ZV8=")</f>
        <v>#REF!</v>
      </c>
      <c r="CS7" t="e">
        <f>AND(#REF!,"AAAAAF//ZWA=")</f>
        <v>#REF!</v>
      </c>
      <c r="CT7" t="e">
        <f>AND(#REF!,"AAAAAF//ZWE=")</f>
        <v>#REF!</v>
      </c>
      <c r="CU7" t="e">
        <f>AND(#REF!,"AAAAAF//ZWI=")</f>
        <v>#REF!</v>
      </c>
      <c r="CV7" t="e">
        <f>AND(#REF!,"AAAAAF//ZWM=")</f>
        <v>#REF!</v>
      </c>
      <c r="CW7" t="e">
        <f>AND(#REF!,"AAAAAF//ZWQ=")</f>
        <v>#REF!</v>
      </c>
      <c r="CX7" t="e">
        <f>AND(#REF!,"AAAAAF//ZWU=")</f>
        <v>#REF!</v>
      </c>
      <c r="CY7" t="e">
        <f>AND(#REF!,"AAAAAF//ZWY=")</f>
        <v>#REF!</v>
      </c>
      <c r="CZ7" t="e">
        <f>AND(#REF!,"AAAAAF//ZWc=")</f>
        <v>#REF!</v>
      </c>
      <c r="DA7" t="e">
        <f>AND(#REF!,"AAAAAF//ZWg=")</f>
        <v>#REF!</v>
      </c>
      <c r="DB7" t="e">
        <f>AND(#REF!,"AAAAAF//ZWk=")</f>
        <v>#REF!</v>
      </c>
      <c r="DC7" t="e">
        <f>AND(#REF!,"AAAAAF//ZWo=")</f>
        <v>#REF!</v>
      </c>
      <c r="DD7" t="e">
        <f>AND(#REF!,"AAAAAF//ZWs=")</f>
        <v>#REF!</v>
      </c>
      <c r="DE7" t="e">
        <f>AND(#REF!,"AAAAAF//ZWw=")</f>
        <v>#REF!</v>
      </c>
      <c r="DF7" t="e">
        <f>AND(#REF!,"AAAAAF//ZW0=")</f>
        <v>#REF!</v>
      </c>
      <c r="DG7" t="e">
        <f>AND(#REF!,"AAAAAF//ZW4=")</f>
        <v>#REF!</v>
      </c>
      <c r="DH7" t="e">
        <f>IF(#REF!,"AAAAAF//ZW8=",0)</f>
        <v>#REF!</v>
      </c>
      <c r="DI7" t="e">
        <f>AND(#REF!,"AAAAAF//ZXA=")</f>
        <v>#REF!</v>
      </c>
      <c r="DJ7" t="e">
        <f>AND(#REF!,"AAAAAF//ZXE=")</f>
        <v>#REF!</v>
      </c>
      <c r="DK7" t="e">
        <f>AND(#REF!,"AAAAAF//ZXI=")</f>
        <v>#REF!</v>
      </c>
      <c r="DL7" t="e">
        <f>AND(#REF!,"AAAAAF//ZXM=")</f>
        <v>#REF!</v>
      </c>
      <c r="DM7" t="e">
        <f>AND(#REF!,"AAAAAF//ZXQ=")</f>
        <v>#REF!</v>
      </c>
      <c r="DN7" t="e">
        <f>AND(#REF!,"AAAAAF//ZXU=")</f>
        <v>#REF!</v>
      </c>
      <c r="DO7" t="e">
        <f>AND(#REF!,"AAAAAF//ZXY=")</f>
        <v>#REF!</v>
      </c>
      <c r="DP7" t="e">
        <f>AND(#REF!,"AAAAAF//ZXc=")</f>
        <v>#REF!</v>
      </c>
      <c r="DQ7" t="e">
        <f>AND(#REF!,"AAAAAF//ZXg=")</f>
        <v>#REF!</v>
      </c>
      <c r="DR7" t="e">
        <f>AND(#REF!,"AAAAAF//ZXk=")</f>
        <v>#REF!</v>
      </c>
      <c r="DS7" t="e">
        <f>AND(#REF!,"AAAAAF//ZXo=")</f>
        <v>#REF!</v>
      </c>
      <c r="DT7" t="e">
        <f>AND(#REF!,"AAAAAF//ZXs=")</f>
        <v>#REF!</v>
      </c>
      <c r="DU7" t="e">
        <f>AND(#REF!,"AAAAAF//ZXw=")</f>
        <v>#REF!</v>
      </c>
      <c r="DV7" t="e">
        <f>AND(#REF!,"AAAAAF//ZX0=")</f>
        <v>#REF!</v>
      </c>
      <c r="DW7" t="e">
        <f>AND(#REF!,"AAAAAF//ZX4=")</f>
        <v>#REF!</v>
      </c>
      <c r="DX7" t="e">
        <f>AND(#REF!,"AAAAAF//ZX8=")</f>
        <v>#REF!</v>
      </c>
      <c r="DY7" t="e">
        <f>AND(#REF!,"AAAAAF//ZYA=")</f>
        <v>#REF!</v>
      </c>
      <c r="DZ7" t="e">
        <f>AND(#REF!,"AAAAAF//ZYE=")</f>
        <v>#REF!</v>
      </c>
      <c r="EA7" t="e">
        <f>AND(#REF!,"AAAAAF//ZYI=")</f>
        <v>#REF!</v>
      </c>
      <c r="EB7" t="e">
        <f>AND(#REF!,"AAAAAF//ZYM=")</f>
        <v>#REF!</v>
      </c>
      <c r="EC7" t="e">
        <f>AND(#REF!,"AAAAAF//ZYQ=")</f>
        <v>#REF!</v>
      </c>
      <c r="ED7" t="e">
        <f>AND(#REF!,"AAAAAF//ZYU=")</f>
        <v>#REF!</v>
      </c>
      <c r="EE7" t="e">
        <f>AND(#REF!,"AAAAAF//ZYY=")</f>
        <v>#REF!</v>
      </c>
      <c r="EF7" t="e">
        <f>AND(#REF!,"AAAAAF//ZYc=")</f>
        <v>#REF!</v>
      </c>
      <c r="EG7" t="e">
        <f>AND(#REF!,"AAAAAF//ZYg=")</f>
        <v>#REF!</v>
      </c>
      <c r="EH7" t="e">
        <f>AND(#REF!,"AAAAAF//ZYk=")</f>
        <v>#REF!</v>
      </c>
      <c r="EI7" t="e">
        <f>IF(#REF!,"AAAAAF//ZYo=",0)</f>
        <v>#REF!</v>
      </c>
      <c r="EJ7" t="e">
        <f>AND(#REF!,"AAAAAF//ZYs=")</f>
        <v>#REF!</v>
      </c>
      <c r="EK7" t="e">
        <f>AND(#REF!,"AAAAAF//ZYw=")</f>
        <v>#REF!</v>
      </c>
      <c r="EL7" t="e">
        <f>AND(#REF!,"AAAAAF//ZY0=")</f>
        <v>#REF!</v>
      </c>
      <c r="EM7" t="e">
        <f>AND(#REF!,"AAAAAF//ZY4=")</f>
        <v>#REF!</v>
      </c>
      <c r="EN7" t="e">
        <f>AND(#REF!,"AAAAAF//ZY8=")</f>
        <v>#REF!</v>
      </c>
      <c r="EO7" t="e">
        <f>AND(#REF!,"AAAAAF//ZZA=")</f>
        <v>#REF!</v>
      </c>
      <c r="EP7" t="e">
        <f>AND(#REF!,"AAAAAF//ZZE=")</f>
        <v>#REF!</v>
      </c>
      <c r="EQ7" t="e">
        <f>AND(#REF!,"AAAAAF//ZZI=")</f>
        <v>#REF!</v>
      </c>
      <c r="ER7" t="e">
        <f>AND(#REF!,"AAAAAF//ZZM=")</f>
        <v>#REF!</v>
      </c>
      <c r="ES7" t="e">
        <f>AND(#REF!,"AAAAAF//ZZQ=")</f>
        <v>#REF!</v>
      </c>
      <c r="ET7" t="e">
        <f>AND(#REF!,"AAAAAF//ZZU=")</f>
        <v>#REF!</v>
      </c>
      <c r="EU7" t="e">
        <f>AND(#REF!,"AAAAAF//ZZY=")</f>
        <v>#REF!</v>
      </c>
      <c r="EV7" t="e">
        <f>AND(#REF!,"AAAAAF//ZZc=")</f>
        <v>#REF!</v>
      </c>
      <c r="EW7" t="e">
        <f>AND(#REF!,"AAAAAF//ZZg=")</f>
        <v>#REF!</v>
      </c>
      <c r="EX7" t="e">
        <f>AND(#REF!,"AAAAAF//ZZk=")</f>
        <v>#REF!</v>
      </c>
      <c r="EY7" t="e">
        <f>AND(#REF!,"AAAAAF//ZZo=")</f>
        <v>#REF!</v>
      </c>
      <c r="EZ7" t="e">
        <f>AND(#REF!,"AAAAAF//ZZs=")</f>
        <v>#REF!</v>
      </c>
      <c r="FA7" t="e">
        <f>AND(#REF!,"AAAAAF//ZZw=")</f>
        <v>#REF!</v>
      </c>
      <c r="FB7" t="e">
        <f>AND(#REF!,"AAAAAF//ZZ0=")</f>
        <v>#REF!</v>
      </c>
      <c r="FC7" t="e">
        <f>AND(#REF!,"AAAAAF//ZZ4=")</f>
        <v>#REF!</v>
      </c>
      <c r="FD7" t="e">
        <f>AND(#REF!,"AAAAAF//ZZ8=")</f>
        <v>#REF!</v>
      </c>
      <c r="FE7" t="e">
        <f>AND(#REF!,"AAAAAF//ZaA=")</f>
        <v>#REF!</v>
      </c>
      <c r="FF7" t="e">
        <f>AND(#REF!,"AAAAAF//ZaE=")</f>
        <v>#REF!</v>
      </c>
      <c r="FG7" t="e">
        <f>AND(#REF!,"AAAAAF//ZaI=")</f>
        <v>#REF!</v>
      </c>
      <c r="FH7" t="e">
        <f>AND(#REF!,"AAAAAF//ZaM=")</f>
        <v>#REF!</v>
      </c>
      <c r="FI7" t="e">
        <f>AND(#REF!,"AAAAAF//ZaQ=")</f>
        <v>#REF!</v>
      </c>
      <c r="FJ7" t="e">
        <f>IF(#REF!,"AAAAAF//ZaU=",0)</f>
        <v>#REF!</v>
      </c>
      <c r="FK7" t="e">
        <f>AND(#REF!,"AAAAAF//ZaY=")</f>
        <v>#REF!</v>
      </c>
      <c r="FL7" t="e">
        <f>AND(#REF!,"AAAAAF//Zac=")</f>
        <v>#REF!</v>
      </c>
      <c r="FM7" t="e">
        <f>AND(#REF!,"AAAAAF//Zag=")</f>
        <v>#REF!</v>
      </c>
      <c r="FN7" t="e">
        <f>AND(#REF!,"AAAAAF//Zak=")</f>
        <v>#REF!</v>
      </c>
      <c r="FO7" t="e">
        <f>AND(#REF!,"AAAAAF//Zao=")</f>
        <v>#REF!</v>
      </c>
      <c r="FP7" t="e">
        <f>AND(#REF!,"AAAAAF//Zas=")</f>
        <v>#REF!</v>
      </c>
      <c r="FQ7" t="e">
        <f>AND(#REF!,"AAAAAF//Zaw=")</f>
        <v>#REF!</v>
      </c>
      <c r="FR7" t="e">
        <f>AND(#REF!,"AAAAAF//Za0=")</f>
        <v>#REF!</v>
      </c>
      <c r="FS7" t="e">
        <f>AND(#REF!,"AAAAAF//Za4=")</f>
        <v>#REF!</v>
      </c>
      <c r="FT7" t="e">
        <f>AND(#REF!,"AAAAAF//Za8=")</f>
        <v>#REF!</v>
      </c>
      <c r="FU7" t="e">
        <f>AND(#REF!,"AAAAAF//ZbA=")</f>
        <v>#REF!</v>
      </c>
      <c r="FV7" t="e">
        <f>AND(#REF!,"AAAAAF//ZbE=")</f>
        <v>#REF!</v>
      </c>
      <c r="FW7" t="e">
        <f>AND(#REF!,"AAAAAF//ZbI=")</f>
        <v>#REF!</v>
      </c>
      <c r="FX7" t="e">
        <f>AND(#REF!,"AAAAAF//ZbM=")</f>
        <v>#REF!</v>
      </c>
      <c r="FY7" t="e">
        <f>AND(#REF!,"AAAAAF//ZbQ=")</f>
        <v>#REF!</v>
      </c>
      <c r="FZ7" t="e">
        <f>AND(#REF!,"AAAAAF//ZbU=")</f>
        <v>#REF!</v>
      </c>
      <c r="GA7" t="e">
        <f>AND(#REF!,"AAAAAF//ZbY=")</f>
        <v>#REF!</v>
      </c>
      <c r="GB7" t="e">
        <f>AND(#REF!,"AAAAAF//Zbc=")</f>
        <v>#REF!</v>
      </c>
      <c r="GC7" t="e">
        <f>AND(#REF!,"AAAAAF//Zbg=")</f>
        <v>#REF!</v>
      </c>
      <c r="GD7" t="e">
        <f>AND(#REF!,"AAAAAF//Zbk=")</f>
        <v>#REF!</v>
      </c>
      <c r="GE7" t="e">
        <f>AND(#REF!,"AAAAAF//Zbo=")</f>
        <v>#REF!</v>
      </c>
      <c r="GF7" t="e">
        <f>AND(#REF!,"AAAAAF//Zbs=")</f>
        <v>#REF!</v>
      </c>
      <c r="GG7" t="e">
        <f>AND(#REF!,"AAAAAF//Zbw=")</f>
        <v>#REF!</v>
      </c>
      <c r="GH7" t="e">
        <f>AND(#REF!,"AAAAAF//Zb0=")</f>
        <v>#REF!</v>
      </c>
      <c r="GI7" t="e">
        <f>AND(#REF!,"AAAAAF//Zb4=")</f>
        <v>#REF!</v>
      </c>
      <c r="GJ7" t="e">
        <f>AND(#REF!,"AAAAAF//Zb8=")</f>
        <v>#REF!</v>
      </c>
      <c r="GK7" t="e">
        <f>IF(#REF!,"AAAAAF//ZcA=",0)</f>
        <v>#REF!</v>
      </c>
      <c r="GL7" t="e">
        <f>AND(#REF!,"AAAAAF//ZcE=")</f>
        <v>#REF!</v>
      </c>
      <c r="GM7" t="e">
        <f>AND(#REF!,"AAAAAF//ZcI=")</f>
        <v>#REF!</v>
      </c>
      <c r="GN7" t="e">
        <f>AND(#REF!,"AAAAAF//ZcM=")</f>
        <v>#REF!</v>
      </c>
      <c r="GO7" t="e">
        <f>AND(#REF!,"AAAAAF//ZcQ=")</f>
        <v>#REF!</v>
      </c>
      <c r="GP7" t="e">
        <f>AND(#REF!,"AAAAAF//ZcU=")</f>
        <v>#REF!</v>
      </c>
      <c r="GQ7" t="e">
        <f>AND(#REF!,"AAAAAF//ZcY=")</f>
        <v>#REF!</v>
      </c>
      <c r="GR7" t="e">
        <f>AND(#REF!,"AAAAAF//Zcc=")</f>
        <v>#REF!</v>
      </c>
      <c r="GS7" t="e">
        <f>AND(#REF!,"AAAAAF//Zcg=")</f>
        <v>#REF!</v>
      </c>
      <c r="GT7" t="e">
        <f>AND(#REF!,"AAAAAF//Zck=")</f>
        <v>#REF!</v>
      </c>
      <c r="GU7" t="e">
        <f>AND(#REF!,"AAAAAF//Zco=")</f>
        <v>#REF!</v>
      </c>
      <c r="GV7" t="e">
        <f>AND(#REF!,"AAAAAF//Zcs=")</f>
        <v>#REF!</v>
      </c>
      <c r="GW7" t="e">
        <f>AND(#REF!,"AAAAAF//Zcw=")</f>
        <v>#REF!</v>
      </c>
      <c r="GX7" t="e">
        <f>AND(#REF!,"AAAAAF//Zc0=")</f>
        <v>#REF!</v>
      </c>
      <c r="GY7" t="e">
        <f>AND(#REF!,"AAAAAF//Zc4=")</f>
        <v>#REF!</v>
      </c>
      <c r="GZ7" t="e">
        <f>AND(#REF!,"AAAAAF//Zc8=")</f>
        <v>#REF!</v>
      </c>
      <c r="HA7" t="e">
        <f>AND(#REF!,"AAAAAF//ZdA=")</f>
        <v>#REF!</v>
      </c>
      <c r="HB7" t="e">
        <f>AND(#REF!,"AAAAAF//ZdE=")</f>
        <v>#REF!</v>
      </c>
      <c r="HC7" t="e">
        <f>AND(#REF!,"AAAAAF//ZdI=")</f>
        <v>#REF!</v>
      </c>
      <c r="HD7" t="e">
        <f>AND(#REF!,"AAAAAF//ZdM=")</f>
        <v>#REF!</v>
      </c>
      <c r="HE7" t="e">
        <f>AND(#REF!,"AAAAAF//ZdQ=")</f>
        <v>#REF!</v>
      </c>
      <c r="HF7" t="e">
        <f>AND(#REF!,"AAAAAF//ZdU=")</f>
        <v>#REF!</v>
      </c>
      <c r="HG7" t="e">
        <f>AND(#REF!,"AAAAAF//ZdY=")</f>
        <v>#REF!</v>
      </c>
      <c r="HH7" t="e">
        <f>AND(#REF!,"AAAAAF//Zdc=")</f>
        <v>#REF!</v>
      </c>
      <c r="HI7" t="e">
        <f>AND(#REF!,"AAAAAF//Zdg=")</f>
        <v>#REF!</v>
      </c>
      <c r="HJ7" t="e">
        <f>AND(#REF!,"AAAAAF//Zdk=")</f>
        <v>#REF!</v>
      </c>
      <c r="HK7" t="e">
        <f>AND(#REF!,"AAAAAF//Zdo=")</f>
        <v>#REF!</v>
      </c>
      <c r="HL7" t="e">
        <f>IF(#REF!,"AAAAAF//Zds=",0)</f>
        <v>#REF!</v>
      </c>
      <c r="HM7" t="e">
        <f>AND(#REF!,"AAAAAF//Zdw=")</f>
        <v>#REF!</v>
      </c>
      <c r="HN7" t="e">
        <f>AND(#REF!,"AAAAAF//Zd0=")</f>
        <v>#REF!</v>
      </c>
      <c r="HO7" t="e">
        <f>AND(#REF!,"AAAAAF//Zd4=")</f>
        <v>#REF!</v>
      </c>
      <c r="HP7" t="e">
        <f>AND(#REF!,"AAAAAF//Zd8=")</f>
        <v>#REF!</v>
      </c>
      <c r="HQ7" t="e">
        <f>AND(#REF!,"AAAAAF//ZeA=")</f>
        <v>#REF!</v>
      </c>
      <c r="HR7" t="e">
        <f>AND(#REF!,"AAAAAF//ZeE=")</f>
        <v>#REF!</v>
      </c>
      <c r="HS7" t="e">
        <f>AND(#REF!,"AAAAAF//ZeI=")</f>
        <v>#REF!</v>
      </c>
      <c r="HT7" t="e">
        <f>AND(#REF!,"AAAAAF//ZeM=")</f>
        <v>#REF!</v>
      </c>
      <c r="HU7" t="e">
        <f>AND(#REF!,"AAAAAF//ZeQ=")</f>
        <v>#REF!</v>
      </c>
      <c r="HV7" t="e">
        <f>AND(#REF!,"AAAAAF//ZeU=")</f>
        <v>#REF!</v>
      </c>
      <c r="HW7" t="e">
        <f>AND(#REF!,"AAAAAF//ZeY=")</f>
        <v>#REF!</v>
      </c>
      <c r="HX7" t="e">
        <f>AND(#REF!,"AAAAAF//Zec=")</f>
        <v>#REF!</v>
      </c>
      <c r="HY7" t="e">
        <f>AND(#REF!,"AAAAAF//Zeg=")</f>
        <v>#REF!</v>
      </c>
      <c r="HZ7" t="e">
        <f>AND(#REF!,"AAAAAF//Zek=")</f>
        <v>#REF!</v>
      </c>
      <c r="IA7" t="e">
        <f>AND(#REF!,"AAAAAF//Zeo=")</f>
        <v>#REF!</v>
      </c>
      <c r="IB7" t="e">
        <f>AND(#REF!,"AAAAAF//Zes=")</f>
        <v>#REF!</v>
      </c>
      <c r="IC7" t="e">
        <f>AND(#REF!,"AAAAAF//Zew=")</f>
        <v>#REF!</v>
      </c>
      <c r="ID7" t="e">
        <f>AND(#REF!,"AAAAAF//Ze0=")</f>
        <v>#REF!</v>
      </c>
      <c r="IE7" t="e">
        <f>AND(#REF!,"AAAAAF//Ze4=")</f>
        <v>#REF!</v>
      </c>
      <c r="IF7" t="e">
        <f>AND(#REF!,"AAAAAF//Ze8=")</f>
        <v>#REF!</v>
      </c>
      <c r="IG7" t="e">
        <f>AND(#REF!,"AAAAAF//ZfA=")</f>
        <v>#REF!</v>
      </c>
      <c r="IH7" t="e">
        <f>AND(#REF!,"AAAAAF//ZfE=")</f>
        <v>#REF!</v>
      </c>
      <c r="II7" t="e">
        <f>AND(#REF!,"AAAAAF//ZfI=")</f>
        <v>#REF!</v>
      </c>
      <c r="IJ7" t="e">
        <f>AND(#REF!,"AAAAAF//ZfM=")</f>
        <v>#REF!</v>
      </c>
      <c r="IK7" t="e">
        <f>AND(#REF!,"AAAAAF//ZfQ=")</f>
        <v>#REF!</v>
      </c>
      <c r="IL7" t="e">
        <f>AND(#REF!,"AAAAAF//ZfU=")</f>
        <v>#REF!</v>
      </c>
      <c r="IM7" t="e">
        <f>IF(#REF!,"AAAAAF//ZfY=",0)</f>
        <v>#REF!</v>
      </c>
      <c r="IN7" t="e">
        <f>AND(#REF!,"AAAAAF//Zfc=")</f>
        <v>#REF!</v>
      </c>
      <c r="IO7" t="e">
        <f>IF(#REF!,"AAAAAF//Zfg=",0)</f>
        <v>#REF!</v>
      </c>
      <c r="IP7" t="e">
        <f>IF(#REF!,"AAAAAF//Zfk=",0)</f>
        <v>#REF!</v>
      </c>
      <c r="IQ7" t="e">
        <f>IF(#REF!,"AAAAAF//Zfo=",0)</f>
        <v>#REF!</v>
      </c>
      <c r="IR7" t="e">
        <f>IF(#REF!,"AAAAAF//Zfs=",0)</f>
        <v>#REF!</v>
      </c>
      <c r="IS7" t="e">
        <f>IF(#REF!,"AAAAAF//Zfw=",0)</f>
        <v>#REF!</v>
      </c>
      <c r="IT7" t="e">
        <f>IF(#REF!,"AAAAAF//Zf0=",0)</f>
        <v>#REF!</v>
      </c>
      <c r="IU7" t="e">
        <f>IF(#REF!,"AAAAAF//Zf4=",0)</f>
        <v>#REF!</v>
      </c>
      <c r="IV7" t="e">
        <f>IF(#REF!,"AAAAAF//Zf8=",0)</f>
        <v>#REF!</v>
      </c>
    </row>
    <row r="8" spans="1:256" x14ac:dyDescent="0.25">
      <c r="A8" t="e">
        <f>IF(#REF!,"AAAAAH839AA=",0)</f>
        <v>#REF!</v>
      </c>
      <c r="B8" t="e">
        <f>IF(#REF!,"AAAAAH839AE=",0)</f>
        <v>#REF!</v>
      </c>
      <c r="C8" t="e">
        <f>IF(#REF!,"AAAAAH839AI=",0)</f>
        <v>#REF!</v>
      </c>
      <c r="D8" t="e">
        <f>IF(#REF!,"AAAAAH839AM=",0)</f>
        <v>#REF!</v>
      </c>
      <c r="E8" t="e">
        <f>IF(#REF!,"AAAAAH839AQ=",0)</f>
        <v>#REF!</v>
      </c>
      <c r="F8" t="e">
        <f>IF(#REF!,"AAAAAH839AU=",0)</f>
        <v>#REF!</v>
      </c>
      <c r="G8" t="e">
        <f>IF(#REF!,"AAAAAH839AY=",0)</f>
        <v>#REF!</v>
      </c>
      <c r="H8" t="e">
        <f>IF(#REF!,"AAAAAH839Ac=",0)</f>
        <v>#REF!</v>
      </c>
      <c r="I8" t="e">
        <f>IF(#REF!,"AAAAAH839Ag=",0)</f>
        <v>#REF!</v>
      </c>
      <c r="J8" t="e">
        <f>IF(#REF!,"AAAAAH839Ak=",0)</f>
        <v>#REF!</v>
      </c>
      <c r="K8" t="e">
        <f>IF(#REF!,"AAAAAH839Ao=",0)</f>
        <v>#REF!</v>
      </c>
      <c r="L8" t="e">
        <f>IF(#REF!,"AAAAAH839As=",0)</f>
        <v>#REF!</v>
      </c>
      <c r="M8" t="e">
        <f>IF(#REF!,"AAAAAH839Aw=",0)</f>
        <v>#REF!</v>
      </c>
      <c r="N8" t="e">
        <f>IF(#REF!,"AAAAAH839A0=",0)</f>
        <v>#REF!</v>
      </c>
      <c r="O8" t="e">
        <f>IF(#REF!,"AAAAAH839A4=",0)</f>
        <v>#REF!</v>
      </c>
      <c r="P8" t="e">
        <f>IF(#REF!,"AAAAAH839A8=",0)</f>
        <v>#REF!</v>
      </c>
      <c r="Q8" t="e">
        <f>IF(#REF!,"AAAAAH839BA=",0)</f>
        <v>#REF!</v>
      </c>
      <c r="R8" t="e">
        <f>IF(#REF!,"AAAAAH839BE=",0)</f>
        <v>#REF!</v>
      </c>
      <c r="S8">
        <f>IF(Data!1:1,"AAAAAH839BI=",0)</f>
        <v>0</v>
      </c>
      <c r="T8" t="e">
        <f>AND(Data!A1,"AAAAAH839BM=")</f>
        <v>#VALUE!</v>
      </c>
      <c r="U8" t="e">
        <f>AND(Data!B1,"AAAAAH839BQ=")</f>
        <v>#VALUE!</v>
      </c>
      <c r="V8" t="e">
        <f>AND(Data!C1,"AAAAAH839BU=")</f>
        <v>#VALUE!</v>
      </c>
      <c r="W8" t="e">
        <f>AND(Data!D1,"AAAAAH839BY=")</f>
        <v>#VALUE!</v>
      </c>
      <c r="X8" t="e">
        <f>AND(Data!E1,"AAAAAH839Bc=")</f>
        <v>#VALUE!</v>
      </c>
      <c r="Y8" t="e">
        <f>AND(Data!F1,"AAAAAH839Bg=")</f>
        <v>#VALUE!</v>
      </c>
      <c r="Z8" t="e">
        <f>AND(Data!G1,"AAAAAH839Bk=")</f>
        <v>#VALUE!</v>
      </c>
      <c r="AA8" t="e">
        <f>AND(Data!H1,"AAAAAH839Bo=")</f>
        <v>#VALUE!</v>
      </c>
      <c r="AB8" t="e">
        <f>AND(Data!I1,"AAAAAH839Bs=")</f>
        <v>#VALUE!</v>
      </c>
      <c r="AC8">
        <f>IF(Data!2:2,"AAAAAH839Bw=",0)</f>
        <v>0</v>
      </c>
      <c r="AD8" t="e">
        <f>AND(Data!A2,"AAAAAH839B0=")</f>
        <v>#VALUE!</v>
      </c>
      <c r="AE8" t="e">
        <f>AND(Data!B2,"AAAAAH839B4=")</f>
        <v>#VALUE!</v>
      </c>
      <c r="AF8" t="e">
        <f>AND(Data!C2,"AAAAAH839B8=")</f>
        <v>#VALUE!</v>
      </c>
      <c r="AG8" t="e">
        <f>AND(Data!D2,"AAAAAH839CA=")</f>
        <v>#VALUE!</v>
      </c>
      <c r="AH8" t="e">
        <f>AND(Data!E2,"AAAAAH839CE=")</f>
        <v>#VALUE!</v>
      </c>
      <c r="AI8" t="e">
        <f>AND(Data!F2,"AAAAAH839CI=")</f>
        <v>#VALUE!</v>
      </c>
      <c r="AJ8" t="e">
        <f>AND(Data!G2,"AAAAAH839CM=")</f>
        <v>#VALUE!</v>
      </c>
      <c r="AK8" t="e">
        <f>AND(Data!H2,"AAAAAH839CQ=")</f>
        <v>#VALUE!</v>
      </c>
      <c r="AL8" t="e">
        <f>AND(Data!I2,"AAAAAH839CU=")</f>
        <v>#VALUE!</v>
      </c>
      <c r="AM8" t="e">
        <f>IF(_xlfn.SINGLE(Data!#REF!),"AAAAAH839CY=",0)</f>
        <v>#REF!</v>
      </c>
      <c r="AN8" t="e">
        <f>AND(Data!#REF!,"AAAAAH839Cc=")</f>
        <v>#REF!</v>
      </c>
      <c r="AO8" t="e">
        <f>AND(Data!#REF!,"AAAAAH839Cg=")</f>
        <v>#REF!</v>
      </c>
      <c r="AP8" t="e">
        <f>AND(Data!#REF!,"AAAAAH839Ck=")</f>
        <v>#REF!</v>
      </c>
      <c r="AQ8" t="e">
        <f>AND(Data!#REF!,"AAAAAH839Co=")</f>
        <v>#REF!</v>
      </c>
      <c r="AR8" t="e">
        <f>AND(Data!#REF!,"AAAAAH839Cs=")</f>
        <v>#REF!</v>
      </c>
      <c r="AS8" t="e">
        <f>AND(Data!#REF!,"AAAAAH839Cw=")</f>
        <v>#REF!</v>
      </c>
      <c r="AT8" t="e">
        <f>AND(Data!#REF!,"AAAAAH839C0=")</f>
        <v>#REF!</v>
      </c>
      <c r="AU8" t="e">
        <f>AND(Data!#REF!,"AAAAAH839C4=")</f>
        <v>#REF!</v>
      </c>
      <c r="AV8" t="e">
        <f>AND(Data!#REF!,"AAAAAH839C8=")</f>
        <v>#REF!</v>
      </c>
      <c r="AW8" t="e">
        <f>IF(_xlfn.SINGLE(Data!#REF!),"AAAAAH839DA=",0)</f>
        <v>#REF!</v>
      </c>
      <c r="AX8" t="e">
        <f>AND(Data!#REF!,"AAAAAH839DE=")</f>
        <v>#REF!</v>
      </c>
      <c r="AY8" t="e">
        <f>AND(Data!#REF!,"AAAAAH839DI=")</f>
        <v>#REF!</v>
      </c>
      <c r="AZ8" t="e">
        <f>AND(Data!#REF!,"AAAAAH839DM=")</f>
        <v>#REF!</v>
      </c>
      <c r="BA8" t="e">
        <f>AND(Data!#REF!,"AAAAAH839DQ=")</f>
        <v>#REF!</v>
      </c>
      <c r="BB8" t="e">
        <f>AND(Data!#REF!,"AAAAAH839DU=")</f>
        <v>#REF!</v>
      </c>
      <c r="BC8" t="e">
        <f>AND(Data!#REF!,"AAAAAH839DY=")</f>
        <v>#REF!</v>
      </c>
      <c r="BD8" t="e">
        <f>AND(Data!#REF!,"AAAAAH839Dc=")</f>
        <v>#REF!</v>
      </c>
      <c r="BE8" t="e">
        <f>AND(Data!#REF!,"AAAAAH839Dg=")</f>
        <v>#REF!</v>
      </c>
      <c r="BF8" t="e">
        <f>AND(Data!#REF!,"AAAAAH839Dk=")</f>
        <v>#REF!</v>
      </c>
      <c r="BG8" t="e">
        <f>IF(_xlfn.SINGLE(Data!#REF!),"AAAAAH839Do=",0)</f>
        <v>#REF!</v>
      </c>
      <c r="BH8" t="e">
        <f>AND(Data!#REF!,"AAAAAH839Ds=")</f>
        <v>#REF!</v>
      </c>
      <c r="BI8" t="e">
        <f>AND(Data!#REF!,"AAAAAH839Dw=")</f>
        <v>#REF!</v>
      </c>
      <c r="BJ8" t="e">
        <f>AND(Data!#REF!,"AAAAAH839D0=")</f>
        <v>#REF!</v>
      </c>
      <c r="BK8" t="e">
        <f>AND(Data!#REF!,"AAAAAH839D4=")</f>
        <v>#REF!</v>
      </c>
      <c r="BL8" t="e">
        <f>AND(Data!#REF!,"AAAAAH839D8=")</f>
        <v>#REF!</v>
      </c>
      <c r="BM8" t="e">
        <f>AND(Data!#REF!,"AAAAAH839EA=")</f>
        <v>#REF!</v>
      </c>
      <c r="BN8" t="e">
        <f>AND(Data!#REF!,"AAAAAH839EE=")</f>
        <v>#REF!</v>
      </c>
      <c r="BO8" t="e">
        <f>AND(Data!#REF!,"AAAAAH839EI=")</f>
        <v>#REF!</v>
      </c>
      <c r="BP8" t="e">
        <f>AND(Data!#REF!,"AAAAAH839EM=")</f>
        <v>#REF!</v>
      </c>
      <c r="BQ8" t="e">
        <f>IF(_xlfn.SINGLE(Data!#REF!),"AAAAAH839EQ=",0)</f>
        <v>#REF!</v>
      </c>
      <c r="BR8" t="e">
        <f>AND(Data!#REF!,"AAAAAH839EU=")</f>
        <v>#REF!</v>
      </c>
      <c r="BS8" t="e">
        <f>AND(Data!#REF!,"AAAAAH839EY=")</f>
        <v>#REF!</v>
      </c>
      <c r="BT8" t="e">
        <f>AND(Data!#REF!,"AAAAAH839Ec=")</f>
        <v>#REF!</v>
      </c>
      <c r="BU8" t="e">
        <f>AND(Data!#REF!,"AAAAAH839Eg=")</f>
        <v>#REF!</v>
      </c>
      <c r="BV8" t="e">
        <f>AND(Data!#REF!,"AAAAAH839Ek=")</f>
        <v>#REF!</v>
      </c>
      <c r="BW8" t="e">
        <f>AND(Data!#REF!,"AAAAAH839Eo=")</f>
        <v>#REF!</v>
      </c>
      <c r="BX8" t="e">
        <f>AND(Data!#REF!,"AAAAAH839Es=")</f>
        <v>#REF!</v>
      </c>
      <c r="BY8" t="e">
        <f>AND(Data!#REF!,"AAAAAH839Ew=")</f>
        <v>#REF!</v>
      </c>
      <c r="BZ8" t="e">
        <f>AND(Data!#REF!,"AAAAAH839E0=")</f>
        <v>#REF!</v>
      </c>
      <c r="CA8" t="e">
        <f>IF(_xlfn.SINGLE(Data!#REF!),"AAAAAH839E4=",0)</f>
        <v>#REF!</v>
      </c>
      <c r="CB8" t="e">
        <f>AND(Data!#REF!,"AAAAAH839E8=")</f>
        <v>#REF!</v>
      </c>
      <c r="CC8" t="e">
        <f>AND(Data!#REF!,"AAAAAH839FA=")</f>
        <v>#REF!</v>
      </c>
      <c r="CD8" t="e">
        <f>AND(Data!#REF!,"AAAAAH839FE=")</f>
        <v>#REF!</v>
      </c>
      <c r="CE8" t="e">
        <f>AND(Data!#REF!,"AAAAAH839FI=")</f>
        <v>#REF!</v>
      </c>
      <c r="CF8" t="e">
        <f>AND(Data!#REF!,"AAAAAH839FM=")</f>
        <v>#REF!</v>
      </c>
      <c r="CG8" t="e">
        <f>AND(Data!#REF!,"AAAAAH839FQ=")</f>
        <v>#REF!</v>
      </c>
      <c r="CH8" t="e">
        <f>AND(Data!#REF!,"AAAAAH839FU=")</f>
        <v>#REF!</v>
      </c>
      <c r="CI8" t="e">
        <f>AND(Data!#REF!,"AAAAAH839FY=")</f>
        <v>#REF!</v>
      </c>
      <c r="CJ8" t="e">
        <f>AND(Data!#REF!,"AAAAAH839Fc=")</f>
        <v>#REF!</v>
      </c>
      <c r="CK8" t="e">
        <f>IF(_xlfn.SINGLE(Data!#REF!),"AAAAAH839Fg=",0)</f>
        <v>#REF!</v>
      </c>
      <c r="CL8" t="e">
        <f>AND(Data!#REF!,"AAAAAH839Fk=")</f>
        <v>#REF!</v>
      </c>
      <c r="CM8" t="e">
        <f>AND(Data!#REF!,"AAAAAH839Fo=")</f>
        <v>#REF!</v>
      </c>
      <c r="CN8" t="e">
        <f>AND(Data!#REF!,"AAAAAH839Fs=")</f>
        <v>#REF!</v>
      </c>
      <c r="CO8" t="e">
        <f>AND(Data!#REF!,"AAAAAH839Fw=")</f>
        <v>#REF!</v>
      </c>
      <c r="CP8" t="e">
        <f>AND(Data!#REF!,"AAAAAH839F0=")</f>
        <v>#REF!</v>
      </c>
      <c r="CQ8" t="e">
        <f>AND(Data!#REF!,"AAAAAH839F4=")</f>
        <v>#REF!</v>
      </c>
      <c r="CR8" t="e">
        <f>AND(Data!#REF!,"AAAAAH839F8=")</f>
        <v>#REF!</v>
      </c>
      <c r="CS8" t="e">
        <f>AND(Data!#REF!,"AAAAAH839GA=")</f>
        <v>#REF!</v>
      </c>
      <c r="CT8" t="e">
        <f>AND(Data!#REF!,"AAAAAH839GE=")</f>
        <v>#REF!</v>
      </c>
      <c r="CU8" t="e">
        <f>IF(_xlfn.SINGLE(Data!#REF!),"AAAAAH839GI=",0)</f>
        <v>#REF!</v>
      </c>
      <c r="CV8" t="e">
        <f>AND(Data!#REF!,"AAAAAH839GM=")</f>
        <v>#REF!</v>
      </c>
      <c r="CW8" t="e">
        <f>AND(Data!#REF!,"AAAAAH839GQ=")</f>
        <v>#REF!</v>
      </c>
      <c r="CX8" t="e">
        <f>AND(Data!#REF!,"AAAAAH839GU=")</f>
        <v>#REF!</v>
      </c>
      <c r="CY8" t="e">
        <f>AND(Data!#REF!,"AAAAAH839GY=")</f>
        <v>#REF!</v>
      </c>
      <c r="CZ8" t="e">
        <f>AND(Data!#REF!,"AAAAAH839Gc=")</f>
        <v>#REF!</v>
      </c>
      <c r="DA8" t="e">
        <f>AND(Data!#REF!,"AAAAAH839Gg=")</f>
        <v>#REF!</v>
      </c>
      <c r="DB8" t="e">
        <f>AND(Data!#REF!,"AAAAAH839Gk=")</f>
        <v>#REF!</v>
      </c>
      <c r="DC8" t="e">
        <f>AND(Data!#REF!,"AAAAAH839Go=")</f>
        <v>#REF!</v>
      </c>
      <c r="DD8" t="e">
        <f>AND(Data!#REF!,"AAAAAH839Gs=")</f>
        <v>#REF!</v>
      </c>
      <c r="DE8" t="e">
        <f>IF(_xlfn.SINGLE(Data!#REF!),"AAAAAH839Gw=",0)</f>
        <v>#REF!</v>
      </c>
      <c r="DF8" t="e">
        <f>AND(Data!#REF!,"AAAAAH839G0=")</f>
        <v>#REF!</v>
      </c>
      <c r="DG8" t="e">
        <f>AND(Data!#REF!,"AAAAAH839G4=")</f>
        <v>#REF!</v>
      </c>
      <c r="DH8" t="e">
        <f>AND(Data!#REF!,"AAAAAH839G8=")</f>
        <v>#REF!</v>
      </c>
      <c r="DI8" t="e">
        <f>AND(Data!#REF!,"AAAAAH839HA=")</f>
        <v>#REF!</v>
      </c>
      <c r="DJ8" t="e">
        <f>AND(Data!#REF!,"AAAAAH839HE=")</f>
        <v>#REF!</v>
      </c>
      <c r="DK8" t="e">
        <f>AND(Data!#REF!,"AAAAAH839HI=")</f>
        <v>#REF!</v>
      </c>
      <c r="DL8" t="e">
        <f>AND(Data!#REF!,"AAAAAH839HM=")</f>
        <v>#REF!</v>
      </c>
      <c r="DM8" t="e">
        <f>AND(Data!#REF!,"AAAAAH839HQ=")</f>
        <v>#REF!</v>
      </c>
      <c r="DN8" t="e">
        <f>AND(Data!#REF!,"AAAAAH839HU=")</f>
        <v>#REF!</v>
      </c>
      <c r="DO8" t="e">
        <f>IF(_xlfn.SINGLE(Data!#REF!),"AAAAAH839HY=",0)</f>
        <v>#REF!</v>
      </c>
      <c r="DP8" t="e">
        <f>AND(Data!#REF!,"AAAAAH839Hc=")</f>
        <v>#REF!</v>
      </c>
      <c r="DQ8" t="e">
        <f>AND(Data!#REF!,"AAAAAH839Hg=")</f>
        <v>#REF!</v>
      </c>
      <c r="DR8" t="e">
        <f>AND(Data!#REF!,"AAAAAH839Hk=")</f>
        <v>#REF!</v>
      </c>
      <c r="DS8" t="e">
        <f>AND(Data!#REF!,"AAAAAH839Ho=")</f>
        <v>#REF!</v>
      </c>
      <c r="DT8" t="e">
        <f>AND(Data!#REF!,"AAAAAH839Hs=")</f>
        <v>#REF!</v>
      </c>
      <c r="DU8" t="e">
        <f>AND(Data!#REF!,"AAAAAH839Hw=")</f>
        <v>#REF!</v>
      </c>
      <c r="DV8" t="e">
        <f>AND(Data!#REF!,"AAAAAH839H0=")</f>
        <v>#REF!</v>
      </c>
      <c r="DW8" t="e">
        <f>AND(Data!#REF!,"AAAAAH839H4=")</f>
        <v>#REF!</v>
      </c>
      <c r="DX8" t="e">
        <f>AND(Data!#REF!,"AAAAAH839H8=")</f>
        <v>#REF!</v>
      </c>
      <c r="DY8" t="e">
        <f>IF(_xlfn.SINGLE(Data!#REF!),"AAAAAH839IA=",0)</f>
        <v>#REF!</v>
      </c>
      <c r="DZ8" t="e">
        <f>AND(Data!#REF!,"AAAAAH839IE=")</f>
        <v>#REF!</v>
      </c>
      <c r="EA8" t="e">
        <f>AND(Data!#REF!,"AAAAAH839II=")</f>
        <v>#REF!</v>
      </c>
      <c r="EB8" t="e">
        <f>AND(Data!#REF!,"AAAAAH839IM=")</f>
        <v>#REF!</v>
      </c>
      <c r="EC8" t="e">
        <f>AND(Data!#REF!,"AAAAAH839IQ=")</f>
        <v>#REF!</v>
      </c>
      <c r="ED8" t="e">
        <f>AND(Data!#REF!,"AAAAAH839IU=")</f>
        <v>#REF!</v>
      </c>
      <c r="EE8" t="e">
        <f>AND(Data!#REF!,"AAAAAH839IY=")</f>
        <v>#REF!</v>
      </c>
      <c r="EF8" t="e">
        <f>AND(Data!#REF!,"AAAAAH839Ic=")</f>
        <v>#REF!</v>
      </c>
      <c r="EG8" t="e">
        <f>AND(Data!#REF!,"AAAAAH839Ig=")</f>
        <v>#REF!</v>
      </c>
      <c r="EH8" t="e">
        <f>AND(Data!#REF!,"AAAAAH839Ik=")</f>
        <v>#REF!</v>
      </c>
      <c r="EI8" t="e">
        <f>IF(_xlfn.SINGLE(Data!#REF!),"AAAAAH839Io=",0)</f>
        <v>#REF!</v>
      </c>
      <c r="EJ8" t="e">
        <f>AND(Data!#REF!,"AAAAAH839Is=")</f>
        <v>#REF!</v>
      </c>
      <c r="EK8" t="e">
        <f>AND(Data!#REF!,"AAAAAH839Iw=")</f>
        <v>#REF!</v>
      </c>
      <c r="EL8" t="e">
        <f>AND(Data!#REF!,"AAAAAH839I0=")</f>
        <v>#REF!</v>
      </c>
      <c r="EM8" t="e">
        <f>AND(Data!#REF!,"AAAAAH839I4=")</f>
        <v>#REF!</v>
      </c>
      <c r="EN8" t="e">
        <f>AND(Data!#REF!,"AAAAAH839I8=")</f>
        <v>#REF!</v>
      </c>
      <c r="EO8" t="e">
        <f>AND(Data!#REF!,"AAAAAH839JA=")</f>
        <v>#REF!</v>
      </c>
      <c r="EP8" t="e">
        <f>AND(Data!#REF!,"AAAAAH839JE=")</f>
        <v>#REF!</v>
      </c>
      <c r="EQ8" t="e">
        <f>AND(Data!#REF!,"AAAAAH839JI=")</f>
        <v>#REF!</v>
      </c>
      <c r="ER8" t="e">
        <f>AND(Data!#REF!,"AAAAAH839JM=")</f>
        <v>#REF!</v>
      </c>
      <c r="ES8" t="e">
        <f>IF(_xlfn.SINGLE(Data!#REF!),"AAAAAH839JQ=",0)</f>
        <v>#REF!</v>
      </c>
      <c r="ET8" t="e">
        <f>AND(Data!#REF!,"AAAAAH839JU=")</f>
        <v>#REF!</v>
      </c>
      <c r="EU8" t="e">
        <f>AND(Data!#REF!,"AAAAAH839JY=")</f>
        <v>#REF!</v>
      </c>
      <c r="EV8" t="e">
        <f>AND(Data!#REF!,"AAAAAH839Jc=")</f>
        <v>#REF!</v>
      </c>
      <c r="EW8" t="e">
        <f>AND(Data!#REF!,"AAAAAH839Jg=")</f>
        <v>#REF!</v>
      </c>
      <c r="EX8" t="e">
        <f>AND(Data!#REF!,"AAAAAH839Jk=")</f>
        <v>#REF!</v>
      </c>
      <c r="EY8" t="e">
        <f>AND(Data!#REF!,"AAAAAH839Jo=")</f>
        <v>#REF!</v>
      </c>
      <c r="EZ8" t="e">
        <f>AND(Data!#REF!,"AAAAAH839Js=")</f>
        <v>#REF!</v>
      </c>
      <c r="FA8" t="e">
        <f>AND(Data!#REF!,"AAAAAH839Jw=")</f>
        <v>#REF!</v>
      </c>
      <c r="FB8" t="e">
        <f>AND(Data!#REF!,"AAAAAH839J0=")</f>
        <v>#REF!</v>
      </c>
      <c r="FC8" t="e">
        <f>IF(_xlfn.SINGLE(Data!#REF!),"AAAAAH839J4=",0)</f>
        <v>#REF!</v>
      </c>
      <c r="FD8" t="e">
        <f>AND(Data!#REF!,"AAAAAH839J8=")</f>
        <v>#REF!</v>
      </c>
      <c r="FE8" t="e">
        <f>AND(Data!#REF!,"AAAAAH839KA=")</f>
        <v>#REF!</v>
      </c>
      <c r="FF8" t="e">
        <f>AND(Data!#REF!,"AAAAAH839KE=")</f>
        <v>#REF!</v>
      </c>
      <c r="FG8" t="e">
        <f>AND(Data!#REF!,"AAAAAH839KI=")</f>
        <v>#REF!</v>
      </c>
      <c r="FH8" t="e">
        <f>AND(Data!#REF!,"AAAAAH839KM=")</f>
        <v>#REF!</v>
      </c>
      <c r="FI8" t="e">
        <f>AND(Data!#REF!,"AAAAAH839KQ=")</f>
        <v>#REF!</v>
      </c>
      <c r="FJ8" t="e">
        <f>AND(Data!#REF!,"AAAAAH839KU=")</f>
        <v>#REF!</v>
      </c>
      <c r="FK8" t="e">
        <f>AND(Data!#REF!,"AAAAAH839KY=")</f>
        <v>#REF!</v>
      </c>
      <c r="FL8" t="e">
        <f>AND(Data!#REF!,"AAAAAH839Kc=")</f>
        <v>#REF!</v>
      </c>
      <c r="FM8" t="e">
        <f>IF(_xlfn.SINGLE(Data!#REF!),"AAAAAH839Kg=",0)</f>
        <v>#REF!</v>
      </c>
      <c r="FN8" t="e">
        <f>AND(Data!#REF!,"AAAAAH839Kk=")</f>
        <v>#REF!</v>
      </c>
      <c r="FO8" t="e">
        <f>AND(Data!#REF!,"AAAAAH839Ko=")</f>
        <v>#REF!</v>
      </c>
      <c r="FP8" t="e">
        <f>AND(Data!#REF!,"AAAAAH839Ks=")</f>
        <v>#REF!</v>
      </c>
      <c r="FQ8" t="e">
        <f>AND(Data!#REF!,"AAAAAH839Kw=")</f>
        <v>#REF!</v>
      </c>
      <c r="FR8" t="e">
        <f>AND(Data!#REF!,"AAAAAH839K0=")</f>
        <v>#REF!</v>
      </c>
      <c r="FS8" t="e">
        <f>AND(Data!#REF!,"AAAAAH839K4=")</f>
        <v>#REF!</v>
      </c>
      <c r="FT8" t="e">
        <f>AND(Data!#REF!,"AAAAAH839K8=")</f>
        <v>#REF!</v>
      </c>
      <c r="FU8" t="e">
        <f>AND(Data!#REF!,"AAAAAH839LA=")</f>
        <v>#REF!</v>
      </c>
      <c r="FV8" t="e">
        <f>AND(Data!#REF!,"AAAAAH839LE=")</f>
        <v>#REF!</v>
      </c>
      <c r="FW8" t="e">
        <f>IF(_xlfn.SINGLE(Data!#REF!),"AAAAAH839LI=",0)</f>
        <v>#REF!</v>
      </c>
      <c r="FX8" t="e">
        <f>AND(Data!#REF!,"AAAAAH839LM=")</f>
        <v>#REF!</v>
      </c>
      <c r="FY8" t="e">
        <f>AND(Data!#REF!,"AAAAAH839LQ=")</f>
        <v>#REF!</v>
      </c>
      <c r="FZ8" t="e">
        <f>AND(Data!#REF!,"AAAAAH839LU=")</f>
        <v>#REF!</v>
      </c>
      <c r="GA8" t="e">
        <f>AND(Data!#REF!,"AAAAAH839LY=")</f>
        <v>#REF!</v>
      </c>
      <c r="GB8" t="e">
        <f>AND(Data!#REF!,"AAAAAH839Lc=")</f>
        <v>#REF!</v>
      </c>
      <c r="GC8" t="e">
        <f>AND(Data!#REF!,"AAAAAH839Lg=")</f>
        <v>#REF!</v>
      </c>
      <c r="GD8" t="e">
        <f>AND(Data!#REF!,"AAAAAH839Lk=")</f>
        <v>#REF!</v>
      </c>
      <c r="GE8" t="e">
        <f>AND(Data!#REF!,"AAAAAH839Lo=")</f>
        <v>#REF!</v>
      </c>
      <c r="GF8" t="e">
        <f>AND(Data!#REF!,"AAAAAH839Ls=")</f>
        <v>#REF!</v>
      </c>
      <c r="GG8" t="e">
        <f>IF(_xlfn.SINGLE(Data!#REF!),"AAAAAH839Lw=",0)</f>
        <v>#REF!</v>
      </c>
      <c r="GH8" t="e">
        <f>AND(Data!#REF!,"AAAAAH839L0=")</f>
        <v>#REF!</v>
      </c>
      <c r="GI8" t="e">
        <f>AND(Data!#REF!,"AAAAAH839L4=")</f>
        <v>#REF!</v>
      </c>
      <c r="GJ8" t="e">
        <f>AND(Data!#REF!,"AAAAAH839L8=")</f>
        <v>#REF!</v>
      </c>
      <c r="GK8" t="e">
        <f>AND(Data!#REF!,"AAAAAH839MA=")</f>
        <v>#REF!</v>
      </c>
      <c r="GL8" t="e">
        <f>AND(Data!#REF!,"AAAAAH839ME=")</f>
        <v>#REF!</v>
      </c>
      <c r="GM8" t="e">
        <f>AND(Data!#REF!,"AAAAAH839MI=")</f>
        <v>#REF!</v>
      </c>
      <c r="GN8" t="e">
        <f>AND(Data!#REF!,"AAAAAH839MM=")</f>
        <v>#REF!</v>
      </c>
      <c r="GO8" t="e">
        <f>AND(Data!#REF!,"AAAAAH839MQ=")</f>
        <v>#REF!</v>
      </c>
      <c r="GP8" t="e">
        <f>AND(Data!#REF!,"AAAAAH839MU=")</f>
        <v>#REF!</v>
      </c>
      <c r="GQ8" t="e">
        <f>IF(_xlfn.SINGLE(Data!#REF!),"AAAAAH839MY=",0)</f>
        <v>#REF!</v>
      </c>
      <c r="GR8" t="e">
        <f>AND(Data!#REF!,"AAAAAH839Mc=")</f>
        <v>#REF!</v>
      </c>
      <c r="GS8" t="e">
        <f>AND(Data!#REF!,"AAAAAH839Mg=")</f>
        <v>#REF!</v>
      </c>
      <c r="GT8" t="e">
        <f>AND(Data!#REF!,"AAAAAH839Mk=")</f>
        <v>#REF!</v>
      </c>
      <c r="GU8" t="e">
        <f>AND(Data!#REF!,"AAAAAH839Mo=")</f>
        <v>#REF!</v>
      </c>
      <c r="GV8" t="e">
        <f>AND(Data!#REF!,"AAAAAH839Ms=")</f>
        <v>#REF!</v>
      </c>
      <c r="GW8" t="e">
        <f>AND(Data!#REF!,"AAAAAH839Mw=")</f>
        <v>#REF!</v>
      </c>
      <c r="GX8" t="e">
        <f>AND(Data!#REF!,"AAAAAH839M0=")</f>
        <v>#REF!</v>
      </c>
      <c r="GY8" t="e">
        <f>AND(Data!#REF!,"AAAAAH839M4=")</f>
        <v>#REF!</v>
      </c>
      <c r="GZ8" t="e">
        <f>AND(Data!#REF!,"AAAAAH839M8=")</f>
        <v>#REF!</v>
      </c>
      <c r="HA8" t="e">
        <f>IF(_xlfn.SINGLE(Data!#REF!),"AAAAAH839NA=",0)</f>
        <v>#REF!</v>
      </c>
      <c r="HB8" t="e">
        <f>AND(Data!#REF!,"AAAAAH839NE=")</f>
        <v>#REF!</v>
      </c>
      <c r="HC8" t="e">
        <f>AND(Data!#REF!,"AAAAAH839NI=")</f>
        <v>#REF!</v>
      </c>
      <c r="HD8" t="e">
        <f>AND(Data!#REF!,"AAAAAH839NM=")</f>
        <v>#REF!</v>
      </c>
      <c r="HE8" t="e">
        <f>AND(Data!#REF!,"AAAAAH839NQ=")</f>
        <v>#REF!</v>
      </c>
      <c r="HF8" t="e">
        <f>AND(Data!#REF!,"AAAAAH839NU=")</f>
        <v>#REF!</v>
      </c>
      <c r="HG8" t="e">
        <f>AND(Data!#REF!,"AAAAAH839NY=")</f>
        <v>#REF!</v>
      </c>
      <c r="HH8" t="e">
        <f>AND(Data!#REF!,"AAAAAH839Nc=")</f>
        <v>#REF!</v>
      </c>
      <c r="HI8" t="e">
        <f>AND(Data!#REF!,"AAAAAH839Ng=")</f>
        <v>#REF!</v>
      </c>
      <c r="HJ8" t="e">
        <f>AND(Data!#REF!,"AAAAAH839Nk=")</f>
        <v>#REF!</v>
      </c>
      <c r="HK8">
        <f>IF(Data!A:A,"AAAAAH839No=",0)</f>
        <v>0</v>
      </c>
      <c r="HL8">
        <f>IF(Data!B:B,"AAAAAH839Ns=",0)</f>
        <v>0</v>
      </c>
      <c r="HM8">
        <f>IF(Data!C:C,"AAAAAH839Nw=",0)</f>
        <v>0</v>
      </c>
      <c r="HN8">
        <f>IF(Data!D:D,"AAAAAH839N0=",0)</f>
        <v>0</v>
      </c>
      <c r="HO8">
        <f>IF(Data!E:E,"AAAAAH839N4=",0)</f>
        <v>0</v>
      </c>
      <c r="HP8">
        <f>IF(Data!F:F,"AAAAAH839N8=",0)</f>
        <v>0</v>
      </c>
      <c r="HQ8">
        <f>IF(Data!G:G,"AAAAAH839OA=",0)</f>
        <v>0</v>
      </c>
      <c r="HR8" t="e">
        <f>IF(Data!H:H,"AAAAAH839OE=",0)</f>
        <v>#VALUE!</v>
      </c>
      <c r="HS8">
        <f>IF(Data!I:I,"AAAAAH839OI=",0)</f>
        <v>0</v>
      </c>
      <c r="HT8" s="9" t="s">
        <v>19</v>
      </c>
      <c r="HU8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Percentage</vt:lpstr>
      <vt:lpstr>Absolutely</vt:lpstr>
      <vt:lpstr>Data</vt:lpstr>
      <vt:lpstr>Data!OLE_LINK1</vt:lpstr>
    </vt:vector>
  </TitlesOfParts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bengin squareprofile</dc:title>
  <dc:creator>Peter Bretscher</dc:creator>
  <dc:description>Registered Copyright TXu 512 154 © 2009
peter.bretscher@bengin.com</dc:description>
  <cp:lastModifiedBy>Peter Bretscher</cp:lastModifiedBy>
  <cp:lastPrinted>2020-11-01T15:03:20Z</cp:lastPrinted>
  <dcterms:created xsi:type="dcterms:W3CDTF">2009-10-19T10:18:38Z</dcterms:created>
  <dcterms:modified xsi:type="dcterms:W3CDTF">2020-11-01T15:15:41Z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1QpmfNn0wRDYDh6Bb61Orr5-2eubblKjpYWdN0iBVXz0</vt:lpwstr>
  </property>
  <property fmtid="{D5CDD505-2E9C-101B-9397-08002B2CF9AE}" pid="4" name="Google.Documents.RevisionId">
    <vt:lpwstr>17163587082707481180</vt:lpwstr>
  </property>
  <property fmtid="{D5CDD505-2E9C-101B-9397-08002B2CF9AE}" pid="5" name="Google.Documents.PluginVersion">
    <vt:lpwstr>2.0.1974.7364</vt:lpwstr>
  </property>
  <property fmtid="{D5CDD505-2E9C-101B-9397-08002B2CF9AE}" pid="6" name="Google.Documents.MergeIncapabilityFlags">
    <vt:i4>0</vt:i4>
  </property>
</Properties>
</file>