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customProperty2.bin" ContentType="application/vnd.openxmlformats-officedocument.spreadsheetml.customProperty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customProperty3.bin" ContentType="application/vnd.openxmlformats-officedocument.spreadsheetml.customProperty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ml.chartshapes+xml"/>
  <Override PartName="/xl/customProperty4.bin" ContentType="application/vnd.openxmlformats-officedocument.spreadsheetml.customProperty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drawings/drawing10.xml" ContentType="application/vnd.openxmlformats-officedocument.drawingml.chartshapes+xml"/>
  <Override PartName="/xl/customProperty5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DieseArbeitsmappe" defaultThemeVersion="124226"/>
  <bookViews>
    <workbookView xWindow="120" yWindow="165" windowWidth="10845" windowHeight="8670"/>
  </bookViews>
  <sheets>
    <sheet name="Deckblatt Risk" sheetId="2" r:id="rId1"/>
    <sheet name="Tabelle1" sheetId="19" r:id="rId2"/>
    <sheet name="Risk LVG SRISK%" sheetId="17" r:id="rId3"/>
    <sheet name="Risk MES SRISK%" sheetId="16" r:id="rId4"/>
    <sheet name="Risk MES LVG" sheetId="10" r:id="rId5"/>
    <sheet name="DV-IDENTITY-0" sheetId="18" state="veryHidden" r:id="rId6"/>
  </sheets>
  <definedNames>
    <definedName name="ExterneDaten_1" localSheetId="1">Tabelle1!$H$4:$K$14</definedName>
    <definedName name="risk_1" localSheetId="1">Tabelle1!$A$1:$D$11</definedName>
  </definedNames>
  <calcPr calcId="145621"/>
</workbook>
</file>

<file path=xl/calcChain.xml><?xml version="1.0" encoding="utf-8"?>
<calcChain xmlns="http://schemas.openxmlformats.org/spreadsheetml/2006/main">
  <c r="F14" i="10" l="1"/>
  <c r="E14" i="10"/>
  <c r="D14" i="10"/>
  <c r="F13" i="10"/>
  <c r="E13" i="10"/>
  <c r="D13" i="10"/>
  <c r="F12" i="10"/>
  <c r="E12" i="10"/>
  <c r="D12" i="10"/>
  <c r="F11" i="10"/>
  <c r="E11" i="10"/>
  <c r="D11" i="10"/>
  <c r="F10" i="10"/>
  <c r="E10" i="10"/>
  <c r="D10" i="10"/>
  <c r="F9" i="10"/>
  <c r="E9" i="10"/>
  <c r="D9" i="10"/>
  <c r="F8" i="10"/>
  <c r="E8" i="10"/>
  <c r="D8" i="10"/>
  <c r="F7" i="10"/>
  <c r="E7" i="10"/>
  <c r="D7" i="10"/>
  <c r="F6" i="10"/>
  <c r="E6" i="10"/>
  <c r="D6" i="10"/>
  <c r="F5" i="10"/>
  <c r="E5" i="10"/>
  <c r="D5" i="10"/>
  <c r="F14" i="16"/>
  <c r="E14" i="16"/>
  <c r="D14" i="16"/>
  <c r="F13" i="16"/>
  <c r="E13" i="16"/>
  <c r="D13" i="16"/>
  <c r="F12" i="16"/>
  <c r="E12" i="16"/>
  <c r="D12" i="16"/>
  <c r="F11" i="16"/>
  <c r="E11" i="16"/>
  <c r="D11" i="16"/>
  <c r="F10" i="16"/>
  <c r="E10" i="16"/>
  <c r="D10" i="16"/>
  <c r="F9" i="16"/>
  <c r="E9" i="16"/>
  <c r="D9" i="16"/>
  <c r="F8" i="16"/>
  <c r="E8" i="16"/>
  <c r="D8" i="16"/>
  <c r="F7" i="16"/>
  <c r="E7" i="16"/>
  <c r="D7" i="16"/>
  <c r="F6" i="16"/>
  <c r="E6" i="16"/>
  <c r="D6" i="16"/>
  <c r="F5" i="16"/>
  <c r="E5" i="16"/>
  <c r="D5" i="16"/>
  <c r="F14" i="17"/>
  <c r="E14" i="17"/>
  <c r="F13" i="17"/>
  <c r="E13" i="17"/>
  <c r="F12" i="17"/>
  <c r="E12" i="17"/>
  <c r="F11" i="17"/>
  <c r="E11" i="17"/>
  <c r="F10" i="17"/>
  <c r="E10" i="17"/>
  <c r="F9" i="17"/>
  <c r="E9" i="17"/>
  <c r="F8" i="17"/>
  <c r="E8" i="17"/>
  <c r="F7" i="17"/>
  <c r="E7" i="17"/>
  <c r="F6" i="17"/>
  <c r="E6" i="17"/>
  <c r="F5" i="17"/>
  <c r="E5" i="17"/>
  <c r="D14" i="17"/>
  <c r="D13" i="17"/>
  <c r="D12" i="17"/>
  <c r="D11" i="17"/>
  <c r="D10" i="17"/>
  <c r="D9" i="17"/>
  <c r="D8" i="17"/>
  <c r="D7" i="17"/>
  <c r="D6" i="17"/>
  <c r="D5" i="17"/>
  <c r="A6" i="18" l="1"/>
  <c r="B6" i="18"/>
  <c r="C6" i="18"/>
  <c r="D6" i="18"/>
  <c r="E6" i="18"/>
  <c r="F6" i="18"/>
  <c r="G6" i="18"/>
  <c r="H6" i="18"/>
  <c r="I6" i="18"/>
  <c r="J6" i="18"/>
  <c r="K6" i="18"/>
  <c r="L6" i="18"/>
  <c r="M6" i="18"/>
  <c r="N6" i="18"/>
  <c r="O6" i="18"/>
  <c r="P6" i="18"/>
  <c r="Q6" i="18"/>
  <c r="R6" i="18"/>
  <c r="S6" i="18"/>
  <c r="T6" i="18"/>
  <c r="U6" i="18"/>
  <c r="V6" i="18"/>
  <c r="W6" i="18"/>
  <c r="X6" i="18"/>
  <c r="Y6" i="18"/>
  <c r="Z6" i="18"/>
  <c r="AA6" i="18"/>
  <c r="AB6" i="18"/>
  <c r="AC6" i="18"/>
  <c r="AD6" i="18"/>
  <c r="AE6" i="18"/>
  <c r="AF6" i="18"/>
  <c r="AG6" i="18"/>
  <c r="AH6" i="18"/>
  <c r="AI6" i="18"/>
  <c r="AJ6" i="18"/>
  <c r="AK6" i="18"/>
  <c r="AL6" i="18"/>
  <c r="AM6" i="18"/>
  <c r="AN6" i="18"/>
  <c r="AO6" i="18"/>
  <c r="AP6" i="18"/>
  <c r="AQ6" i="18"/>
  <c r="AR6" i="18"/>
  <c r="AS6" i="18"/>
  <c r="AT6" i="18"/>
  <c r="AU6" i="18"/>
  <c r="AV6" i="18"/>
  <c r="AW6" i="18"/>
  <c r="AX6" i="18"/>
  <c r="AY6" i="18"/>
  <c r="AZ6" i="18"/>
  <c r="BA6" i="18"/>
  <c r="A5" i="18"/>
  <c r="B5" i="18"/>
  <c r="C5" i="18"/>
  <c r="D5" i="18"/>
  <c r="E5" i="18"/>
  <c r="F5" i="18"/>
  <c r="G5" i="18"/>
  <c r="H5" i="18"/>
  <c r="I5" i="18"/>
  <c r="J5" i="18"/>
  <c r="K5" i="18"/>
  <c r="L5" i="18"/>
  <c r="M5" i="18"/>
  <c r="N5" i="18"/>
  <c r="O5" i="18"/>
  <c r="P5" i="18"/>
  <c r="Q5" i="18"/>
  <c r="R5" i="18"/>
  <c r="S5" i="18"/>
  <c r="T5" i="18"/>
  <c r="U5" i="18"/>
  <c r="V5" i="18"/>
  <c r="W5" i="18"/>
  <c r="X5" i="18"/>
  <c r="Y5" i="18"/>
  <c r="Z5" i="18"/>
  <c r="AA5" i="18"/>
  <c r="AB5" i="18"/>
  <c r="AC5" i="18"/>
  <c r="AD5" i="18"/>
  <c r="AE5" i="18"/>
  <c r="AF5" i="18"/>
  <c r="AG5" i="18"/>
  <c r="AH5" i="18"/>
  <c r="AI5" i="18"/>
  <c r="AJ5" i="18"/>
  <c r="AK5" i="18"/>
  <c r="AL5" i="18"/>
  <c r="AM5" i="18"/>
  <c r="AN5" i="18"/>
  <c r="AO5" i="18"/>
  <c r="AP5" i="18"/>
  <c r="AQ5" i="18"/>
  <c r="AR5" i="18"/>
  <c r="AS5" i="18"/>
  <c r="AT5" i="18"/>
  <c r="AU5" i="18"/>
  <c r="AV5" i="18"/>
  <c r="AW5" i="18"/>
  <c r="AX5" i="18"/>
  <c r="AY5" i="18"/>
  <c r="AZ5" i="18"/>
  <c r="BA5" i="18"/>
  <c r="BB5" i="18"/>
  <c r="BC5" i="18"/>
  <c r="BD5" i="18"/>
  <c r="BE5" i="18"/>
  <c r="BF5" i="18"/>
  <c r="BG5" i="18"/>
  <c r="BH5" i="18"/>
  <c r="BI5" i="18"/>
  <c r="BJ5" i="18"/>
  <c r="BK5" i="18"/>
  <c r="BL5" i="18"/>
  <c r="BM5" i="18"/>
  <c r="BN5" i="18"/>
  <c r="BO5" i="18"/>
  <c r="BP5" i="18"/>
  <c r="BQ5" i="18"/>
  <c r="BR5" i="18"/>
  <c r="BS5" i="18"/>
  <c r="BT5" i="18"/>
  <c r="BU5" i="18"/>
  <c r="BV5" i="18"/>
  <c r="BW5" i="18"/>
  <c r="BX5" i="18"/>
  <c r="BY5" i="18"/>
  <c r="BZ5" i="18"/>
  <c r="CA5" i="18"/>
  <c r="CB5" i="18"/>
  <c r="CC5" i="18"/>
  <c r="CD5" i="18"/>
  <c r="CE5" i="18"/>
  <c r="CF5" i="18"/>
  <c r="CG5" i="18"/>
  <c r="CH5" i="18"/>
  <c r="CI5" i="18"/>
  <c r="CJ5" i="18"/>
  <c r="CK5" i="18"/>
  <c r="CL5" i="18"/>
  <c r="CM5" i="18"/>
  <c r="CN5" i="18"/>
  <c r="CO5" i="18"/>
  <c r="CP5" i="18"/>
  <c r="CQ5" i="18"/>
  <c r="CR5" i="18"/>
  <c r="CS5" i="18"/>
  <c r="CT5" i="18"/>
  <c r="CU5" i="18"/>
  <c r="CV5" i="18"/>
  <c r="CW5" i="18"/>
  <c r="CX5" i="18"/>
  <c r="CY5" i="18"/>
  <c r="CZ5" i="18"/>
  <c r="DA5" i="18"/>
  <c r="DB5" i="18"/>
  <c r="DC5" i="18"/>
  <c r="DD5" i="18"/>
  <c r="DE5" i="18"/>
  <c r="DF5" i="18"/>
  <c r="DG5" i="18"/>
  <c r="DH5" i="18"/>
  <c r="DI5" i="18"/>
  <c r="DJ5" i="18"/>
  <c r="DK5" i="18"/>
  <c r="DL5" i="18"/>
  <c r="DM5" i="18"/>
  <c r="DN5" i="18"/>
  <c r="DO5" i="18"/>
  <c r="DP5" i="18"/>
  <c r="DQ5" i="18"/>
  <c r="DR5" i="18"/>
  <c r="DS5" i="18"/>
  <c r="DT5" i="18"/>
  <c r="DU5" i="18"/>
  <c r="DV5" i="18"/>
  <c r="DW5" i="18"/>
  <c r="DX5" i="18"/>
  <c r="DY5" i="18"/>
  <c r="DZ5" i="18"/>
  <c r="EA5" i="18"/>
  <c r="EB5" i="18"/>
  <c r="EC5" i="18"/>
  <c r="ED5" i="18"/>
  <c r="EE5" i="18"/>
  <c r="EF5" i="18"/>
  <c r="EG5" i="18"/>
  <c r="EH5" i="18"/>
  <c r="EI5" i="18"/>
  <c r="EJ5" i="18"/>
  <c r="EK5" i="18"/>
  <c r="EL5" i="18"/>
  <c r="EM5" i="18"/>
  <c r="EN5" i="18"/>
  <c r="EO5" i="18"/>
  <c r="EP5" i="18"/>
  <c r="EQ5" i="18"/>
  <c r="ER5" i="18"/>
  <c r="ES5" i="18"/>
  <c r="ET5" i="18"/>
  <c r="EU5" i="18"/>
  <c r="EV5" i="18"/>
  <c r="EW5" i="18"/>
  <c r="EX5" i="18"/>
  <c r="EY5" i="18"/>
  <c r="EZ5" i="18"/>
  <c r="FA5" i="18"/>
  <c r="FB5" i="18"/>
  <c r="FC5" i="18"/>
  <c r="FD5" i="18"/>
  <c r="FE5" i="18"/>
  <c r="FF5" i="18"/>
  <c r="FG5" i="18"/>
  <c r="FH5" i="18"/>
  <c r="FI5" i="18"/>
  <c r="FJ5" i="18"/>
  <c r="FK5" i="18"/>
  <c r="FL5" i="18"/>
  <c r="FM5" i="18"/>
  <c r="FN5" i="18"/>
  <c r="FO5" i="18"/>
  <c r="FP5" i="18"/>
  <c r="FQ5" i="18"/>
  <c r="FR5" i="18"/>
  <c r="FS5" i="18"/>
  <c r="FT5" i="18"/>
  <c r="FU5" i="18"/>
  <c r="FV5" i="18"/>
  <c r="FW5" i="18"/>
  <c r="FX5" i="18"/>
  <c r="FY5" i="18"/>
  <c r="FZ5" i="18"/>
  <c r="GA5" i="18"/>
  <c r="GB5" i="18"/>
  <c r="GC5" i="18"/>
  <c r="GD5" i="18"/>
  <c r="GE5" i="18"/>
  <c r="GF5" i="18"/>
  <c r="GG5" i="18"/>
  <c r="GH5" i="18"/>
  <c r="GI5" i="18"/>
  <c r="GL5" i="18"/>
  <c r="GN5" i="18"/>
  <c r="GQ5" i="18"/>
  <c r="GR5" i="18"/>
  <c r="GS5" i="18"/>
  <c r="GT5" i="18"/>
  <c r="GU5" i="18"/>
  <c r="A4" i="18"/>
  <c r="B4" i="18"/>
  <c r="C4" i="18"/>
  <c r="D4" i="18"/>
  <c r="E4" i="18"/>
  <c r="F4" i="18"/>
  <c r="G4" i="18"/>
  <c r="H4" i="18"/>
  <c r="I4" i="18"/>
  <c r="J4" i="18"/>
  <c r="K4" i="18"/>
  <c r="L4" i="18"/>
  <c r="M4" i="18"/>
  <c r="N4" i="18"/>
  <c r="O4" i="18"/>
  <c r="P4" i="18"/>
  <c r="Q4" i="18"/>
  <c r="R4" i="18"/>
  <c r="S4" i="18"/>
  <c r="T4" i="18"/>
  <c r="U4" i="18"/>
  <c r="V4" i="18"/>
  <c r="W4" i="18"/>
  <c r="X4" i="18"/>
  <c r="Y4" i="18"/>
  <c r="Z4" i="18"/>
  <c r="AA4" i="18"/>
  <c r="AB4" i="18"/>
  <c r="AC4" i="18"/>
  <c r="AD4" i="18"/>
  <c r="AE4" i="18"/>
  <c r="AF4" i="18"/>
  <c r="AG4" i="18"/>
  <c r="AH4" i="18"/>
  <c r="AI4" i="18"/>
  <c r="AJ4" i="18"/>
  <c r="AK4" i="18"/>
  <c r="AL4" i="18"/>
  <c r="AM4" i="18"/>
  <c r="AN4" i="18"/>
  <c r="AO4" i="18"/>
  <c r="AP4" i="18"/>
  <c r="AQ4" i="18"/>
  <c r="AR4" i="18"/>
  <c r="AS4" i="18"/>
  <c r="AT4" i="18"/>
  <c r="AU4" i="18"/>
  <c r="AV4" i="18"/>
  <c r="AW4" i="18"/>
  <c r="AX4" i="18"/>
  <c r="AY4" i="18"/>
  <c r="AZ4" i="18"/>
  <c r="BA4" i="18"/>
  <c r="BB4" i="18"/>
  <c r="BC4" i="18"/>
  <c r="BD4" i="18"/>
  <c r="BE4" i="18"/>
  <c r="BF4" i="18"/>
  <c r="BG4" i="18"/>
  <c r="BH4" i="18"/>
  <c r="BI4" i="18"/>
  <c r="BJ4" i="18"/>
  <c r="BK4" i="18"/>
  <c r="BL4" i="18"/>
  <c r="BM4" i="18"/>
  <c r="BN4" i="18"/>
  <c r="BO4" i="18"/>
  <c r="BP4" i="18"/>
  <c r="BQ4" i="18"/>
  <c r="BR4" i="18"/>
  <c r="BS4" i="18"/>
  <c r="BT4" i="18"/>
  <c r="BU4" i="18"/>
  <c r="BV4" i="18"/>
  <c r="BW4" i="18"/>
  <c r="BX4" i="18"/>
  <c r="BY4" i="18"/>
  <c r="BZ4" i="18"/>
  <c r="CA4" i="18"/>
  <c r="CB4" i="18"/>
  <c r="CC4" i="18"/>
  <c r="CD4" i="18"/>
  <c r="CE4" i="18"/>
  <c r="CF4" i="18"/>
  <c r="CG4" i="18"/>
  <c r="CH4" i="18"/>
  <c r="CI4" i="18"/>
  <c r="CJ4" i="18"/>
  <c r="CK4" i="18"/>
  <c r="CL4" i="18"/>
  <c r="CM4" i="18"/>
  <c r="CN4" i="18"/>
  <c r="CO4" i="18"/>
  <c r="CP4" i="18"/>
  <c r="CQ4" i="18"/>
  <c r="CR4" i="18"/>
  <c r="CS4" i="18"/>
  <c r="CT4" i="18"/>
  <c r="CU4" i="18"/>
  <c r="CV4" i="18"/>
  <c r="CW4" i="18"/>
  <c r="CX4" i="18"/>
  <c r="CY4" i="18"/>
  <c r="CZ4" i="18"/>
  <c r="DA4" i="18"/>
  <c r="DB4" i="18"/>
  <c r="DC4" i="18"/>
  <c r="DD4" i="18"/>
  <c r="DE4" i="18"/>
  <c r="DF4" i="18"/>
  <c r="DG4" i="18"/>
  <c r="DH4" i="18"/>
  <c r="DI4" i="18"/>
  <c r="DJ4" i="18"/>
  <c r="DK4" i="18"/>
  <c r="DL4" i="18"/>
  <c r="DM4" i="18"/>
  <c r="DN4" i="18"/>
  <c r="DO4" i="18"/>
  <c r="DP4" i="18"/>
  <c r="DQ4" i="18"/>
  <c r="DR4" i="18"/>
  <c r="DS4" i="18"/>
  <c r="DT4" i="18"/>
  <c r="DU4" i="18"/>
  <c r="DV4" i="18"/>
  <c r="DW4" i="18"/>
  <c r="DX4" i="18"/>
  <c r="DY4" i="18"/>
  <c r="DZ4" i="18"/>
  <c r="EA4" i="18"/>
  <c r="EB4" i="18"/>
  <c r="EC4" i="18"/>
  <c r="ED4" i="18"/>
  <c r="EE4" i="18"/>
  <c r="EF4" i="18"/>
  <c r="EG4" i="18"/>
  <c r="EH4" i="18"/>
  <c r="EI4" i="18"/>
  <c r="EJ4" i="18"/>
  <c r="EK4" i="18"/>
  <c r="EL4" i="18"/>
  <c r="EM4" i="18"/>
  <c r="EN4" i="18"/>
  <c r="EO4" i="18"/>
  <c r="EP4" i="18"/>
  <c r="EQ4" i="18"/>
  <c r="ER4" i="18"/>
  <c r="ES4" i="18"/>
  <c r="ET4" i="18"/>
  <c r="EU4" i="18"/>
  <c r="EV4" i="18"/>
  <c r="EW4" i="18"/>
  <c r="EX4" i="18"/>
  <c r="EY4" i="18"/>
  <c r="EZ4" i="18"/>
  <c r="FA4" i="18"/>
  <c r="FB4" i="18"/>
  <c r="FC4" i="18"/>
  <c r="FD4" i="18"/>
  <c r="FE4" i="18"/>
  <c r="FF4" i="18"/>
  <c r="FG4" i="18"/>
  <c r="FH4" i="18"/>
  <c r="FI4" i="18"/>
  <c r="FJ4" i="18"/>
  <c r="FK4" i="18"/>
  <c r="FL4" i="18"/>
  <c r="FM4" i="18"/>
  <c r="FN4" i="18"/>
  <c r="FO4" i="18"/>
  <c r="FP4" i="18"/>
  <c r="FQ4" i="18"/>
  <c r="FR4" i="18"/>
  <c r="FS4" i="18"/>
  <c r="FT4" i="18"/>
  <c r="FU4" i="18"/>
  <c r="FV4" i="18"/>
  <c r="FW4" i="18"/>
  <c r="FX4" i="18"/>
  <c r="FY4" i="18"/>
  <c r="FZ4" i="18"/>
  <c r="GA4" i="18"/>
  <c r="GB4" i="18"/>
  <c r="GC4" i="18"/>
  <c r="GD4" i="18"/>
  <c r="GE4" i="18"/>
  <c r="GF4" i="18"/>
  <c r="GG4" i="18"/>
  <c r="GH4" i="18"/>
  <c r="GI4" i="18"/>
  <c r="GJ4" i="18"/>
  <c r="GK4" i="18"/>
  <c r="GL4" i="18"/>
  <c r="GM4" i="18"/>
  <c r="GN4" i="18"/>
  <c r="GO4" i="18"/>
  <c r="GP4" i="18"/>
  <c r="GQ4" i="18"/>
  <c r="GR4" i="18"/>
  <c r="GS4" i="18"/>
  <c r="GT4" i="18"/>
  <c r="GU4" i="18"/>
  <c r="GV4" i="18"/>
  <c r="GW4" i="18"/>
  <c r="GX4" i="18"/>
  <c r="GY4" i="18"/>
  <c r="GZ4" i="18"/>
  <c r="HA4" i="18"/>
  <c r="HB4" i="18"/>
  <c r="HC4" i="18"/>
  <c r="HD4" i="18"/>
  <c r="HE4" i="18"/>
  <c r="HF4" i="18"/>
  <c r="HG4" i="18"/>
  <c r="HH4" i="18"/>
  <c r="HI4" i="18"/>
  <c r="HJ4" i="18"/>
  <c r="HK4" i="18"/>
  <c r="HL4" i="18"/>
  <c r="HM4" i="18"/>
  <c r="HN4" i="18"/>
  <c r="HO4" i="18"/>
  <c r="HP4" i="18"/>
  <c r="HQ4" i="18"/>
  <c r="HR4" i="18"/>
  <c r="HS4" i="18"/>
  <c r="HT4" i="18"/>
  <c r="HU4" i="18"/>
  <c r="HV4" i="18"/>
  <c r="HW4" i="18"/>
  <c r="HX4" i="18"/>
  <c r="HY4" i="18"/>
  <c r="HZ4" i="18"/>
  <c r="IA4" i="18"/>
  <c r="IB4" i="18"/>
  <c r="IC4" i="18"/>
  <c r="ID4" i="18"/>
  <c r="IE4" i="18"/>
  <c r="IF4" i="18"/>
  <c r="IG4" i="18"/>
  <c r="IH4" i="18"/>
  <c r="II4" i="18"/>
  <c r="IJ4" i="18"/>
  <c r="IK4" i="18"/>
  <c r="IL4" i="18"/>
  <c r="IM4" i="18"/>
  <c r="IN4" i="18"/>
  <c r="IO4" i="18"/>
  <c r="IP4" i="18"/>
  <c r="IQ4" i="18"/>
  <c r="IR4" i="18"/>
  <c r="IS4" i="18"/>
  <c r="IT4" i="18"/>
  <c r="IU4" i="18"/>
  <c r="IV4" i="18"/>
  <c r="A3" i="18"/>
  <c r="B3" i="18"/>
  <c r="C3" i="18"/>
  <c r="D3" i="18"/>
  <c r="E3" i="18"/>
  <c r="F3" i="18"/>
  <c r="G3" i="18"/>
  <c r="H3" i="18"/>
  <c r="I3" i="18"/>
  <c r="J3" i="18"/>
  <c r="K3" i="18"/>
  <c r="L3" i="18"/>
  <c r="M3" i="18"/>
  <c r="N3" i="18"/>
  <c r="P3" i="18"/>
  <c r="Q3" i="18"/>
  <c r="R3" i="18"/>
  <c r="S3" i="18"/>
  <c r="T3" i="18"/>
  <c r="U3" i="18"/>
  <c r="V3" i="18"/>
  <c r="W3" i="18"/>
  <c r="X3" i="18"/>
  <c r="Y3" i="18"/>
  <c r="Z3" i="18"/>
  <c r="AA3" i="18"/>
  <c r="AB3" i="18"/>
  <c r="AC3" i="18"/>
  <c r="AD3" i="18"/>
  <c r="AE3" i="18"/>
  <c r="AF3" i="18"/>
  <c r="AG3" i="18"/>
  <c r="AH3" i="18"/>
  <c r="AI3" i="18"/>
  <c r="AJ3" i="18"/>
  <c r="AK3" i="18"/>
  <c r="AL3" i="18"/>
  <c r="AM3" i="18"/>
  <c r="AN3" i="18"/>
  <c r="AO3" i="18"/>
  <c r="AP3" i="18"/>
  <c r="AQ3" i="18"/>
  <c r="AR3" i="18"/>
  <c r="AS3" i="18"/>
  <c r="AT3" i="18"/>
  <c r="AU3" i="18"/>
  <c r="AV3" i="18"/>
  <c r="AW3" i="18"/>
  <c r="AX3" i="18"/>
  <c r="AY3" i="18"/>
  <c r="AZ3" i="18"/>
  <c r="BA3" i="18"/>
  <c r="BB3" i="18"/>
  <c r="BC3" i="18"/>
  <c r="BD3" i="18"/>
  <c r="BE3" i="18"/>
  <c r="BF3" i="18"/>
  <c r="BG3" i="18"/>
  <c r="BH3" i="18"/>
  <c r="BI3" i="18"/>
  <c r="BJ3" i="18"/>
  <c r="BK3" i="18"/>
  <c r="BL3" i="18"/>
  <c r="BM3" i="18"/>
  <c r="BN3" i="18"/>
  <c r="BO3" i="18"/>
  <c r="BP3" i="18"/>
  <c r="BQ3" i="18"/>
  <c r="BR3" i="18"/>
  <c r="BS3" i="18"/>
  <c r="BT3" i="18"/>
  <c r="BU3" i="18"/>
  <c r="BV3" i="18"/>
  <c r="BW3" i="18"/>
  <c r="BX3" i="18"/>
  <c r="BY3" i="18"/>
  <c r="BZ3" i="18"/>
  <c r="CA3" i="18"/>
  <c r="CB3" i="18"/>
  <c r="CC3" i="18"/>
  <c r="CD3" i="18"/>
  <c r="CE3" i="18"/>
  <c r="CF3" i="18"/>
  <c r="CG3" i="18"/>
  <c r="CH3" i="18"/>
  <c r="CI3" i="18"/>
  <c r="CJ3" i="18"/>
  <c r="CK3" i="18"/>
  <c r="CL3" i="18"/>
  <c r="CM3" i="18"/>
  <c r="CN3" i="18"/>
  <c r="CO3" i="18"/>
  <c r="CP3" i="18"/>
  <c r="CQ3" i="18"/>
  <c r="CR3" i="18"/>
  <c r="CS3" i="18"/>
  <c r="CT3" i="18"/>
  <c r="CU3" i="18"/>
  <c r="CV3" i="18"/>
  <c r="CW3" i="18"/>
  <c r="CX3" i="18"/>
  <c r="CY3" i="18"/>
  <c r="CZ3" i="18"/>
  <c r="DA3" i="18"/>
  <c r="DB3" i="18"/>
  <c r="DC3" i="18"/>
  <c r="DD3" i="18"/>
  <c r="DE3" i="18"/>
  <c r="DF3" i="18"/>
  <c r="DG3" i="18"/>
  <c r="DH3" i="18"/>
  <c r="DI3" i="18"/>
  <c r="DJ3" i="18"/>
  <c r="DK3" i="18"/>
  <c r="DL3" i="18"/>
  <c r="DM3" i="18"/>
  <c r="DN3" i="18"/>
  <c r="DO3" i="18"/>
  <c r="DP3" i="18"/>
  <c r="DQ3" i="18"/>
  <c r="DR3" i="18"/>
  <c r="DS3" i="18"/>
  <c r="DT3" i="18"/>
  <c r="DU3" i="18"/>
  <c r="DV3" i="18"/>
  <c r="DW3" i="18"/>
  <c r="DX3" i="18"/>
  <c r="DY3" i="18"/>
  <c r="DZ3" i="18"/>
  <c r="EA3" i="18"/>
  <c r="EB3" i="18"/>
  <c r="EC3" i="18"/>
  <c r="ED3" i="18"/>
  <c r="EE3" i="18"/>
  <c r="EF3" i="18"/>
  <c r="EG3" i="18"/>
  <c r="EH3" i="18"/>
  <c r="EI3" i="18"/>
  <c r="EJ3" i="18"/>
  <c r="EK3" i="18"/>
  <c r="EL3" i="18"/>
  <c r="EM3" i="18"/>
  <c r="EN3" i="18"/>
  <c r="EO3" i="18"/>
  <c r="EP3" i="18"/>
  <c r="EQ3" i="18"/>
  <c r="ER3" i="18"/>
  <c r="ES3" i="18"/>
  <c r="ET3" i="18"/>
  <c r="EU3" i="18"/>
  <c r="EV3" i="18"/>
  <c r="EW3" i="18"/>
  <c r="EX3" i="18"/>
  <c r="EY3" i="18"/>
  <c r="EZ3" i="18"/>
  <c r="FA3" i="18"/>
  <c r="FB3" i="18"/>
  <c r="FC3" i="18"/>
  <c r="FD3" i="18"/>
  <c r="FE3" i="18"/>
  <c r="FF3" i="18"/>
  <c r="FG3" i="18"/>
  <c r="FH3" i="18"/>
  <c r="FI3" i="18"/>
  <c r="FJ3" i="18"/>
  <c r="FK3" i="18"/>
  <c r="FL3" i="18"/>
  <c r="FM3" i="18"/>
  <c r="FN3" i="18"/>
  <c r="FO3" i="18"/>
  <c r="FP3" i="18"/>
  <c r="FQ3" i="18"/>
  <c r="FR3" i="18"/>
  <c r="FS3" i="18"/>
  <c r="FT3" i="18"/>
  <c r="FU3" i="18"/>
  <c r="FV3" i="18"/>
  <c r="FW3" i="18"/>
  <c r="FX3" i="18"/>
  <c r="FY3" i="18"/>
  <c r="FZ3" i="18"/>
  <c r="GA3" i="18"/>
  <c r="GB3" i="18"/>
  <c r="GC3" i="18"/>
  <c r="GD3" i="18"/>
  <c r="GE3" i="18"/>
  <c r="GF3" i="18"/>
  <c r="GG3" i="18"/>
  <c r="GH3" i="18"/>
  <c r="GI3" i="18"/>
  <c r="GJ3" i="18"/>
  <c r="GK3" i="18"/>
  <c r="GL3" i="18"/>
  <c r="GM3" i="18"/>
  <c r="GN3" i="18"/>
  <c r="GO3" i="18"/>
  <c r="GP3" i="18"/>
  <c r="GQ3" i="18"/>
  <c r="GR3" i="18"/>
  <c r="GS3" i="18"/>
  <c r="GT3" i="18"/>
  <c r="GU3" i="18"/>
  <c r="GV3" i="18"/>
  <c r="GW3" i="18"/>
  <c r="GX3" i="18"/>
  <c r="GY3" i="18"/>
  <c r="GZ3" i="18"/>
  <c r="HA3" i="18"/>
  <c r="HB3" i="18"/>
  <c r="HC3" i="18"/>
  <c r="HD3" i="18"/>
  <c r="HE3" i="18"/>
  <c r="HF3" i="18"/>
  <c r="HG3" i="18"/>
  <c r="HH3" i="18"/>
  <c r="HI3" i="18"/>
  <c r="HJ3" i="18"/>
  <c r="HK3" i="18"/>
  <c r="HL3" i="18"/>
  <c r="HM3" i="18"/>
  <c r="HN3" i="18"/>
  <c r="HO3" i="18"/>
  <c r="HP3" i="18"/>
  <c r="HQ3" i="18"/>
  <c r="HR3" i="18"/>
  <c r="HS3" i="18"/>
  <c r="HT3" i="18"/>
  <c r="HU3" i="18"/>
  <c r="HV3" i="18"/>
  <c r="HW3" i="18"/>
  <c r="HX3" i="18"/>
  <c r="HY3" i="18"/>
  <c r="HZ3" i="18"/>
  <c r="IA3" i="18"/>
  <c r="IB3" i="18"/>
  <c r="IC3" i="18"/>
  <c r="ID3" i="18"/>
  <c r="IE3" i="18"/>
  <c r="IF3" i="18"/>
  <c r="IG3" i="18"/>
  <c r="IH3" i="18"/>
  <c r="II3" i="18"/>
  <c r="IJ3" i="18"/>
  <c r="IK3" i="18"/>
  <c r="IL3" i="18"/>
  <c r="IM3" i="18"/>
  <c r="IN3" i="18"/>
  <c r="IO3" i="18"/>
  <c r="IP3" i="18"/>
  <c r="IQ3" i="18"/>
  <c r="IR3" i="18"/>
  <c r="IS3" i="18"/>
  <c r="IT3" i="18"/>
  <c r="IU3" i="18"/>
  <c r="IV3" i="18"/>
  <c r="A2" i="18"/>
  <c r="B2" i="18"/>
  <c r="C2" i="18"/>
  <c r="D2" i="18"/>
  <c r="E2" i="18"/>
  <c r="F2" i="18"/>
  <c r="G2" i="18"/>
  <c r="H2" i="18"/>
  <c r="I2" i="18"/>
  <c r="J2" i="18"/>
  <c r="K2" i="18"/>
  <c r="L2" i="18"/>
  <c r="M2" i="18"/>
  <c r="N2" i="18"/>
  <c r="O2" i="18"/>
  <c r="P2" i="18"/>
  <c r="Q2" i="18"/>
  <c r="R2" i="18"/>
  <c r="S2" i="18"/>
  <c r="T2" i="18"/>
  <c r="U2" i="18"/>
  <c r="V2" i="18"/>
  <c r="W2" i="18"/>
  <c r="X2" i="18"/>
  <c r="Y2" i="18"/>
  <c r="Z2" i="18"/>
  <c r="AA2" i="18"/>
  <c r="AB2" i="18"/>
  <c r="AC2" i="18"/>
  <c r="AD2" i="18"/>
  <c r="AE2" i="18"/>
  <c r="AF2" i="18"/>
  <c r="AG2" i="18"/>
  <c r="AH2" i="18"/>
  <c r="AI2" i="18"/>
  <c r="AJ2" i="18"/>
  <c r="AK2" i="18"/>
  <c r="AL2" i="18"/>
  <c r="AM2" i="18"/>
  <c r="AN2" i="18"/>
  <c r="AO2" i="18"/>
  <c r="AP2" i="18"/>
  <c r="AQ2" i="18"/>
  <c r="AR2" i="18"/>
  <c r="AS2" i="18"/>
  <c r="AT2" i="18"/>
  <c r="AU2" i="18"/>
  <c r="AV2" i="18"/>
  <c r="AW2" i="18"/>
  <c r="AX2" i="18"/>
  <c r="AY2" i="18"/>
  <c r="AZ2" i="18"/>
  <c r="BA2" i="18"/>
  <c r="BB2" i="18"/>
  <c r="BC2" i="18"/>
  <c r="BD2" i="18"/>
  <c r="BE2" i="18"/>
  <c r="BF2" i="18"/>
  <c r="BG2" i="18"/>
  <c r="BH2" i="18"/>
  <c r="BI2" i="18"/>
  <c r="BJ2" i="18"/>
  <c r="BK2" i="18"/>
  <c r="BL2" i="18"/>
  <c r="BM2" i="18"/>
  <c r="BN2" i="18"/>
  <c r="BO2" i="18"/>
  <c r="BP2" i="18"/>
  <c r="BQ2" i="18"/>
  <c r="BR2" i="18"/>
  <c r="BS2" i="18"/>
  <c r="BT2" i="18"/>
  <c r="BU2" i="18"/>
  <c r="BV2" i="18"/>
  <c r="BW2" i="18"/>
  <c r="BX2" i="18"/>
  <c r="BY2" i="18"/>
  <c r="BZ2" i="18"/>
  <c r="CA2" i="18"/>
  <c r="CB2" i="18"/>
  <c r="CC2" i="18"/>
  <c r="CD2" i="18"/>
  <c r="CE2" i="18"/>
  <c r="CF2" i="18"/>
  <c r="CG2" i="18"/>
  <c r="CH2" i="18"/>
  <c r="CI2" i="18"/>
  <c r="CJ2" i="18"/>
  <c r="CK2" i="18"/>
  <c r="CL2" i="18"/>
  <c r="CM2" i="18"/>
  <c r="CN2" i="18"/>
  <c r="CO2" i="18"/>
  <c r="CP2" i="18"/>
  <c r="CQ2" i="18"/>
  <c r="CR2" i="18"/>
  <c r="CS2" i="18"/>
  <c r="CT2" i="18"/>
  <c r="CU2" i="18"/>
  <c r="CV2" i="18"/>
  <c r="CW2" i="18"/>
  <c r="CX2" i="18"/>
  <c r="CY2" i="18"/>
  <c r="CZ2" i="18"/>
  <c r="DA2" i="18"/>
  <c r="DB2" i="18"/>
  <c r="DC2" i="18"/>
  <c r="DD2" i="18"/>
  <c r="DE2" i="18"/>
  <c r="DF2" i="18"/>
  <c r="DG2" i="18"/>
  <c r="DH2" i="18"/>
  <c r="DI2" i="18"/>
  <c r="DJ2" i="18"/>
  <c r="DK2" i="18"/>
  <c r="DL2" i="18"/>
  <c r="DM2" i="18"/>
  <c r="DN2" i="18"/>
  <c r="DO2" i="18"/>
  <c r="DP2" i="18"/>
  <c r="DQ2" i="18"/>
  <c r="DR2" i="18"/>
  <c r="DS2" i="18"/>
  <c r="DT2" i="18"/>
  <c r="DU2" i="18"/>
  <c r="DV2" i="18"/>
  <c r="DW2" i="18"/>
  <c r="DX2" i="18"/>
  <c r="DY2" i="18"/>
  <c r="DZ2" i="18"/>
  <c r="EA2" i="18"/>
  <c r="EB2" i="18"/>
  <c r="EC2" i="18"/>
  <c r="ED2" i="18"/>
  <c r="EE2" i="18"/>
  <c r="EF2" i="18"/>
  <c r="EG2" i="18"/>
  <c r="EH2" i="18"/>
  <c r="EI2" i="18"/>
  <c r="EJ2" i="18"/>
  <c r="EK2" i="18"/>
  <c r="EL2" i="18"/>
  <c r="EM2" i="18"/>
  <c r="EN2" i="18"/>
  <c r="EO2" i="18"/>
  <c r="EP2" i="18"/>
  <c r="EQ2" i="18"/>
  <c r="ER2" i="18"/>
  <c r="ES2" i="18"/>
  <c r="ET2" i="18"/>
  <c r="EU2" i="18"/>
  <c r="EV2" i="18"/>
  <c r="EW2" i="18"/>
  <c r="EX2" i="18"/>
  <c r="EY2" i="18"/>
  <c r="EZ2" i="18"/>
  <c r="FA2" i="18"/>
  <c r="FB2" i="18"/>
  <c r="FC2" i="18"/>
  <c r="FD2" i="18"/>
  <c r="FE2" i="18"/>
  <c r="FF2" i="18"/>
  <c r="FG2" i="18"/>
  <c r="FH2" i="18"/>
  <c r="FI2" i="18"/>
  <c r="FJ2" i="18"/>
  <c r="FK2" i="18"/>
  <c r="FL2" i="18"/>
  <c r="FM2" i="18"/>
  <c r="FN2" i="18"/>
  <c r="FO2" i="18"/>
  <c r="FP2" i="18"/>
  <c r="FQ2" i="18"/>
  <c r="FR2" i="18"/>
  <c r="FS2" i="18"/>
  <c r="FT2" i="18"/>
  <c r="FU2" i="18"/>
  <c r="FV2" i="18"/>
  <c r="FW2" i="18"/>
  <c r="FX2" i="18"/>
  <c r="FY2" i="18"/>
  <c r="FZ2" i="18"/>
  <c r="GA2" i="18"/>
  <c r="GB2" i="18"/>
  <c r="GC2" i="18"/>
  <c r="GD2" i="18"/>
  <c r="GE2" i="18"/>
  <c r="GF2" i="18"/>
  <c r="GG2" i="18"/>
  <c r="GH2" i="18"/>
  <c r="GI2" i="18"/>
  <c r="GJ2" i="18"/>
  <c r="GK2" i="18"/>
  <c r="GL2" i="18"/>
  <c r="GM2" i="18"/>
  <c r="GN2" i="18"/>
  <c r="GO2" i="18"/>
  <c r="GP2" i="18"/>
  <c r="GQ2" i="18"/>
  <c r="GR2" i="18"/>
  <c r="GS2" i="18"/>
  <c r="GT2" i="18"/>
  <c r="GU2" i="18"/>
  <c r="GV2" i="18"/>
  <c r="GW2" i="18"/>
  <c r="GX2" i="18"/>
  <c r="GY2" i="18"/>
  <c r="GZ2" i="18"/>
  <c r="HA2" i="18"/>
  <c r="HB2" i="18"/>
  <c r="HC2" i="18"/>
  <c r="HD2" i="18"/>
  <c r="HE2" i="18"/>
  <c r="HF2" i="18"/>
  <c r="HG2" i="18"/>
  <c r="HH2" i="18"/>
  <c r="HI2" i="18"/>
  <c r="HJ2" i="18"/>
  <c r="HK2" i="18"/>
  <c r="HL2" i="18"/>
  <c r="HM2" i="18"/>
  <c r="HN2" i="18"/>
  <c r="HO2" i="18"/>
  <c r="HP2" i="18"/>
  <c r="HQ2" i="18"/>
  <c r="HR2" i="18"/>
  <c r="HS2" i="18"/>
  <c r="HT2" i="18"/>
  <c r="HU2" i="18"/>
  <c r="HV2" i="18"/>
  <c r="HW2" i="18"/>
  <c r="HX2" i="18"/>
  <c r="HY2" i="18"/>
  <c r="HZ2" i="18"/>
  <c r="IA2" i="18"/>
  <c r="IB2" i="18"/>
  <c r="IC2" i="18"/>
  <c r="ID2" i="18"/>
  <c r="IE2" i="18"/>
  <c r="IF2" i="18"/>
  <c r="IG2" i="18"/>
  <c r="IH2" i="18"/>
  <c r="II2" i="18"/>
  <c r="IJ2" i="18"/>
  <c r="IK2" i="18"/>
  <c r="IL2" i="18"/>
  <c r="IM2" i="18"/>
  <c r="IN2" i="18"/>
  <c r="IO2" i="18"/>
  <c r="IP2" i="18"/>
  <c r="IQ2" i="18"/>
  <c r="IR2" i="18"/>
  <c r="IS2" i="18"/>
  <c r="IT2" i="18"/>
  <c r="IU2" i="18"/>
  <c r="IV2" i="18"/>
  <c r="A1" i="18"/>
  <c r="B1" i="18"/>
  <c r="C1" i="18"/>
  <c r="D1" i="18"/>
  <c r="E1" i="18"/>
  <c r="F1" i="18"/>
  <c r="G1" i="18"/>
  <c r="H1" i="18"/>
  <c r="I1" i="18"/>
  <c r="J1" i="18"/>
  <c r="K1" i="18"/>
  <c r="L1" i="18"/>
  <c r="M1" i="18"/>
  <c r="N1" i="18"/>
  <c r="O1" i="18"/>
  <c r="P1" i="18"/>
  <c r="Q1" i="18"/>
  <c r="R1" i="18"/>
  <c r="S1" i="18"/>
  <c r="T1" i="18"/>
  <c r="U1" i="18"/>
  <c r="V1" i="18"/>
  <c r="W1" i="18"/>
  <c r="X1" i="18"/>
  <c r="Y1" i="18"/>
  <c r="Z1" i="18"/>
  <c r="AA1" i="18"/>
  <c r="AB1" i="18"/>
  <c r="AC1" i="18"/>
  <c r="AD1" i="18"/>
  <c r="AE1" i="18"/>
  <c r="AF1" i="18"/>
  <c r="AG1" i="18"/>
  <c r="AH1" i="18"/>
  <c r="AI1" i="18"/>
  <c r="AJ1" i="18"/>
  <c r="AK1" i="18"/>
  <c r="AL1" i="18"/>
  <c r="AM1" i="18"/>
  <c r="AN1" i="18"/>
  <c r="AO1" i="18"/>
  <c r="AP1" i="18"/>
  <c r="AQ1" i="18"/>
  <c r="AR1" i="18"/>
  <c r="AS1" i="18"/>
  <c r="AT1" i="18"/>
  <c r="AU1" i="18"/>
  <c r="AV1" i="18"/>
  <c r="AW1" i="18"/>
  <c r="AX1" i="18"/>
  <c r="AY1" i="18"/>
  <c r="AZ1" i="18"/>
  <c r="BA1" i="18"/>
  <c r="BB1" i="18"/>
  <c r="BC1" i="18"/>
  <c r="BD1" i="18"/>
  <c r="BE1" i="18"/>
  <c r="BF1" i="18"/>
  <c r="BG1" i="18"/>
  <c r="BH1" i="18"/>
  <c r="BI1" i="18"/>
  <c r="BJ1" i="18"/>
  <c r="BK1" i="18"/>
  <c r="BL1" i="18"/>
  <c r="BM1" i="18"/>
  <c r="BN1" i="18"/>
  <c r="BO1" i="18"/>
  <c r="BP1" i="18"/>
  <c r="BQ1" i="18"/>
  <c r="BR1" i="18"/>
  <c r="BS1" i="18"/>
  <c r="BT1" i="18"/>
  <c r="BU1" i="18"/>
  <c r="BV1" i="18"/>
  <c r="BW1" i="18"/>
  <c r="BX1" i="18"/>
  <c r="BY1" i="18"/>
  <c r="BZ1" i="18"/>
  <c r="CA1" i="18"/>
  <c r="CB1" i="18"/>
  <c r="CC1" i="18"/>
  <c r="CD1" i="18"/>
  <c r="CE1" i="18"/>
  <c r="CF1" i="18"/>
  <c r="CG1" i="18"/>
  <c r="CH1" i="18"/>
  <c r="CI1" i="18"/>
  <c r="CJ1" i="18"/>
  <c r="CK1" i="18"/>
  <c r="CL1" i="18"/>
  <c r="CM1" i="18"/>
  <c r="CN1" i="18"/>
  <c r="CO1" i="18"/>
  <c r="CP1" i="18"/>
  <c r="CQ1" i="18"/>
  <c r="CR1" i="18"/>
  <c r="CS1" i="18"/>
  <c r="CT1" i="18"/>
  <c r="CU1" i="18"/>
  <c r="CV1" i="18"/>
  <c r="CW1" i="18"/>
  <c r="CX1" i="18"/>
  <c r="CY1" i="18"/>
  <c r="CZ1" i="18"/>
  <c r="DA1" i="18"/>
  <c r="DB1" i="18"/>
  <c r="DC1" i="18"/>
  <c r="DD1" i="18"/>
  <c r="DE1" i="18"/>
  <c r="DF1" i="18"/>
  <c r="DG1" i="18"/>
  <c r="DH1" i="18"/>
  <c r="DI1" i="18"/>
  <c r="DJ1" i="18"/>
  <c r="DK1" i="18"/>
  <c r="DL1" i="18"/>
  <c r="DM1" i="18"/>
  <c r="DN1" i="18"/>
  <c r="DO1" i="18"/>
  <c r="DP1" i="18"/>
  <c r="DQ1" i="18"/>
  <c r="DR1" i="18"/>
  <c r="DS1" i="18"/>
  <c r="DT1" i="18"/>
  <c r="DU1" i="18"/>
  <c r="DV1" i="18"/>
  <c r="DW1" i="18"/>
  <c r="DX1" i="18"/>
  <c r="DY1" i="18"/>
  <c r="DZ1" i="18"/>
  <c r="EA1" i="18"/>
  <c r="EB1" i="18"/>
  <c r="EC1" i="18"/>
  <c r="ED1" i="18"/>
  <c r="EE1" i="18"/>
  <c r="EF1" i="18"/>
  <c r="EG1" i="18"/>
  <c r="EH1" i="18"/>
  <c r="EI1" i="18"/>
  <c r="EJ1" i="18"/>
  <c r="EK1" i="18"/>
  <c r="EL1" i="18"/>
  <c r="EM1" i="18"/>
  <c r="EN1" i="18"/>
  <c r="EO1" i="18"/>
  <c r="EP1" i="18"/>
  <c r="EQ1" i="18"/>
  <c r="ER1" i="18"/>
  <c r="ES1" i="18"/>
  <c r="ET1" i="18"/>
  <c r="EU1" i="18"/>
  <c r="EV1" i="18"/>
  <c r="EW1" i="18"/>
  <c r="EX1" i="18"/>
  <c r="EY1" i="18"/>
  <c r="EZ1" i="18"/>
  <c r="FA1" i="18"/>
  <c r="FB1" i="18"/>
  <c r="FC1" i="18"/>
  <c r="FD1" i="18"/>
  <c r="FE1" i="18"/>
  <c r="FF1" i="18"/>
  <c r="FG1" i="18"/>
  <c r="FH1" i="18"/>
  <c r="FI1" i="18"/>
  <c r="FJ1" i="18"/>
  <c r="FK1" i="18"/>
  <c r="FL1" i="18"/>
  <c r="FM1" i="18"/>
  <c r="FN1" i="18"/>
  <c r="FO1" i="18"/>
  <c r="FP1" i="18"/>
  <c r="FQ1" i="18"/>
  <c r="FR1" i="18"/>
  <c r="FS1" i="18"/>
  <c r="FT1" i="18"/>
  <c r="FU1" i="18"/>
  <c r="FV1" i="18"/>
  <c r="FW1" i="18"/>
  <c r="FX1" i="18"/>
  <c r="FY1" i="18"/>
  <c r="FZ1" i="18"/>
  <c r="GA1" i="18"/>
  <c r="GB1" i="18"/>
  <c r="GC1" i="18"/>
  <c r="GD1" i="18"/>
  <c r="GE1" i="18"/>
  <c r="GF1" i="18"/>
  <c r="GG1" i="18"/>
  <c r="GH1" i="18"/>
  <c r="GI1" i="18"/>
  <c r="GJ1" i="18"/>
  <c r="GK1" i="18"/>
  <c r="GL1" i="18"/>
  <c r="GM1" i="18"/>
  <c r="GN1" i="18"/>
  <c r="GO1" i="18"/>
  <c r="GP1" i="18"/>
  <c r="GQ1" i="18"/>
  <c r="GR1" i="18"/>
  <c r="GS1" i="18"/>
  <c r="GT1" i="18"/>
  <c r="GU1" i="18"/>
  <c r="GV1" i="18"/>
  <c r="GW1" i="18"/>
  <c r="GX1" i="18"/>
  <c r="GY1" i="18"/>
  <c r="GZ1" i="18"/>
  <c r="HA1" i="18"/>
  <c r="HB1" i="18"/>
  <c r="HC1" i="18"/>
  <c r="HD1" i="18"/>
  <c r="HE1" i="18"/>
  <c r="HF1" i="18"/>
  <c r="HG1" i="18"/>
  <c r="HH1" i="18"/>
  <c r="HI1" i="18"/>
  <c r="HJ1" i="18"/>
  <c r="HK1" i="18"/>
  <c r="HL1" i="18"/>
  <c r="HM1" i="18"/>
  <c r="HN1" i="18"/>
  <c r="HO1" i="18"/>
  <c r="HP1" i="18"/>
  <c r="HQ1" i="18"/>
  <c r="HR1" i="18"/>
  <c r="HS1" i="18"/>
  <c r="HT1" i="18"/>
  <c r="HU1" i="18"/>
  <c r="HV1" i="18"/>
  <c r="HW1" i="18"/>
  <c r="HX1" i="18"/>
  <c r="HY1" i="18"/>
  <c r="HZ1" i="18"/>
  <c r="IA1" i="18"/>
  <c r="IB1" i="18"/>
  <c r="IC1" i="18"/>
  <c r="ID1" i="18"/>
  <c r="IE1" i="18"/>
  <c r="IF1" i="18"/>
  <c r="IG1" i="18"/>
  <c r="IH1" i="18"/>
  <c r="II1" i="18"/>
  <c r="IJ1" i="18"/>
  <c r="IK1" i="18"/>
  <c r="IL1" i="18"/>
  <c r="IM1" i="18"/>
  <c r="IN1" i="18"/>
  <c r="IO1" i="18"/>
  <c r="IP1" i="18"/>
  <c r="IQ1" i="18"/>
  <c r="IR1" i="18"/>
  <c r="IS1" i="18"/>
  <c r="IT1" i="18"/>
  <c r="IU1" i="18"/>
  <c r="IV1" i="18"/>
  <c r="L6" i="10" l="1"/>
  <c r="R16" i="17"/>
  <c r="M16" i="17"/>
  <c r="L16" i="17"/>
  <c r="R15" i="17"/>
  <c r="M15" i="17"/>
  <c r="L15" i="17"/>
  <c r="R14" i="17"/>
  <c r="M14" i="17"/>
  <c r="L14" i="17"/>
  <c r="R13" i="17"/>
  <c r="M13" i="17"/>
  <c r="L13" i="17"/>
  <c r="R12" i="17"/>
  <c r="M12" i="17"/>
  <c r="L12" i="17"/>
  <c r="R11" i="17"/>
  <c r="M11" i="17"/>
  <c r="L11" i="17"/>
  <c r="R10" i="17"/>
  <c r="M10" i="17"/>
  <c r="L10" i="17"/>
  <c r="R9" i="17"/>
  <c r="M9" i="17"/>
  <c r="L9" i="17"/>
  <c r="R8" i="17"/>
  <c r="M8" i="17"/>
  <c r="L8" i="17"/>
  <c r="R7" i="17"/>
  <c r="M7" i="17"/>
  <c r="L7" i="17"/>
  <c r="R6" i="17"/>
  <c r="M6" i="17"/>
  <c r="L6" i="17"/>
  <c r="R5" i="17"/>
  <c r="M5" i="17"/>
  <c r="Q5" i="17" s="1"/>
  <c r="P6" i="17" s="1"/>
  <c r="L5" i="17"/>
  <c r="O5" i="17" s="1"/>
  <c r="N6" i="17" s="1"/>
  <c r="R16" i="16"/>
  <c r="M16" i="16"/>
  <c r="L16" i="16"/>
  <c r="R15" i="16"/>
  <c r="M15" i="16"/>
  <c r="L15" i="16"/>
  <c r="R14" i="16"/>
  <c r="M14" i="16"/>
  <c r="L14" i="16"/>
  <c r="R13" i="16"/>
  <c r="M13" i="16"/>
  <c r="L13" i="16"/>
  <c r="R12" i="16"/>
  <c r="M12" i="16"/>
  <c r="L12" i="16"/>
  <c r="R11" i="16"/>
  <c r="M11" i="16"/>
  <c r="L11" i="16"/>
  <c r="R10" i="16"/>
  <c r="M10" i="16"/>
  <c r="L10" i="16"/>
  <c r="R9" i="16"/>
  <c r="M9" i="16"/>
  <c r="L9" i="16"/>
  <c r="R8" i="16"/>
  <c r="M8" i="16"/>
  <c r="L8" i="16"/>
  <c r="R7" i="16"/>
  <c r="M7" i="16"/>
  <c r="L7" i="16"/>
  <c r="R6" i="16"/>
  <c r="M6" i="16"/>
  <c r="L6" i="16"/>
  <c r="R5" i="16"/>
  <c r="M5" i="16"/>
  <c r="Q5" i="16" s="1"/>
  <c r="P6" i="16" s="1"/>
  <c r="Q6" i="16" s="1"/>
  <c r="P7" i="16" s="1"/>
  <c r="Q7" i="16" s="1"/>
  <c r="P8" i="16" s="1"/>
  <c r="Q8" i="16" s="1"/>
  <c r="P9" i="16" s="1"/>
  <c r="Q9" i="16" s="1"/>
  <c r="P10" i="16" s="1"/>
  <c r="Q10" i="16" s="1"/>
  <c r="P11" i="16" s="1"/>
  <c r="Q11" i="16" s="1"/>
  <c r="P12" i="16" s="1"/>
  <c r="Q12" i="16" s="1"/>
  <c r="P13" i="16" s="1"/>
  <c r="Q13" i="16" s="1"/>
  <c r="P14" i="16" s="1"/>
  <c r="Q14" i="16" s="1"/>
  <c r="P15" i="16" s="1"/>
  <c r="Q15" i="16" s="1"/>
  <c r="P16" i="16" s="1"/>
  <c r="Q16" i="16" s="1"/>
  <c r="L5" i="16"/>
  <c r="O5" i="16" s="1"/>
  <c r="N6" i="16" s="1"/>
  <c r="O6" i="16" l="1"/>
  <c r="O6" i="17"/>
  <c r="N7" i="16"/>
  <c r="O7" i="16" s="1"/>
  <c r="N8" i="16" s="1"/>
  <c r="O8" i="16" s="1"/>
  <c r="N9" i="16" s="1"/>
  <c r="O9" i="16" s="1"/>
  <c r="N10" i="16" s="1"/>
  <c r="O10" i="16" s="1"/>
  <c r="N11" i="16" s="1"/>
  <c r="O11" i="16" s="1"/>
  <c r="N12" i="16" s="1"/>
  <c r="O12" i="16" s="1"/>
  <c r="N13" i="16" s="1"/>
  <c r="O13" i="16" s="1"/>
  <c r="N14" i="16" s="1"/>
  <c r="O14" i="16" s="1"/>
  <c r="N15" i="16" s="1"/>
  <c r="O15" i="16" s="1"/>
  <c r="N16" i="16" s="1"/>
  <c r="O16" i="16" s="1"/>
  <c r="O3" i="18"/>
  <c r="Q6" i="17"/>
  <c r="P7" i="17" s="1"/>
  <c r="Q7" i="17" s="1"/>
  <c r="P8" i="17" s="1"/>
  <c r="Q8" i="17" s="1"/>
  <c r="P9" i="17" s="1"/>
  <c r="Q9" i="17" s="1"/>
  <c r="P10" i="17" s="1"/>
  <c r="Q10" i="17" s="1"/>
  <c r="P11" i="17" s="1"/>
  <c r="Q11" i="17" s="1"/>
  <c r="P12" i="17" s="1"/>
  <c r="Q12" i="17" s="1"/>
  <c r="P13" i="17" s="1"/>
  <c r="Q13" i="17" s="1"/>
  <c r="P14" i="17" s="1"/>
  <c r="Q14" i="17" s="1"/>
  <c r="P15" i="17" s="1"/>
  <c r="Q15" i="17" s="1"/>
  <c r="P16" i="17" s="1"/>
  <c r="Q16" i="17" s="1"/>
  <c r="N7" i="17"/>
  <c r="O7" i="17" s="1"/>
  <c r="N8" i="17" s="1"/>
  <c r="O8" i="17" s="1"/>
  <c r="N9" i="17" s="1"/>
  <c r="O9" i="17" s="1"/>
  <c r="N10" i="17" s="1"/>
  <c r="O10" i="17" s="1"/>
  <c r="N11" i="17" s="1"/>
  <c r="O11" i="17" s="1"/>
  <c r="N12" i="17" s="1"/>
  <c r="O12" i="17" s="1"/>
  <c r="N13" i="17" s="1"/>
  <c r="O13" i="17" s="1"/>
  <c r="N14" i="17" s="1"/>
  <c r="O14" i="17" s="1"/>
  <c r="N15" i="17" s="1"/>
  <c r="O15" i="17" s="1"/>
  <c r="N16" i="17" s="1"/>
  <c r="O16" i="17" s="1"/>
  <c r="R16" i="10"/>
  <c r="R15" i="10"/>
  <c r="R14" i="10"/>
  <c r="R13" i="10"/>
  <c r="R12" i="10"/>
  <c r="R11" i="10"/>
  <c r="R10" i="10"/>
  <c r="R9" i="10"/>
  <c r="R8" i="10"/>
  <c r="R7" i="10"/>
  <c r="R6" i="10"/>
  <c r="R5" i="10"/>
  <c r="GP5" i="18" s="1"/>
  <c r="M16" i="10" l="1"/>
  <c r="L16" i="10"/>
  <c r="M15" i="10"/>
  <c r="L15" i="10"/>
  <c r="M14" i="10"/>
  <c r="L14" i="10"/>
  <c r="M13" i="10"/>
  <c r="L13" i="10"/>
  <c r="M12" i="10"/>
  <c r="L12" i="10"/>
  <c r="M11" i="10"/>
  <c r="L11" i="10"/>
  <c r="M10" i="10"/>
  <c r="L10" i="10"/>
  <c r="M9" i="10"/>
  <c r="L9" i="10"/>
  <c r="M8" i="10"/>
  <c r="L8" i="10"/>
  <c r="M7" i="10"/>
  <c r="L7" i="10"/>
  <c r="M6" i="10"/>
  <c r="M5" i="10"/>
  <c r="L5" i="10"/>
  <c r="GJ5" i="18" s="1"/>
  <c r="Q5" i="10" l="1"/>
  <c r="GK5" i="18"/>
  <c r="O5" i="10"/>
  <c r="N6" i="10" l="1"/>
  <c r="GM5" i="18"/>
  <c r="P6" i="10"/>
  <c r="Q6" i="10" s="1"/>
  <c r="P7" i="10" s="1"/>
  <c r="Q7" i="10" s="1"/>
  <c r="P8" i="10" s="1"/>
  <c r="Q8" i="10" s="1"/>
  <c r="P9" i="10" s="1"/>
  <c r="Q9" i="10" s="1"/>
  <c r="P10" i="10" s="1"/>
  <c r="Q10" i="10" s="1"/>
  <c r="P11" i="10" s="1"/>
  <c r="Q11" i="10" s="1"/>
  <c r="P12" i="10" s="1"/>
  <c r="Q12" i="10" s="1"/>
  <c r="P13" i="10" s="1"/>
  <c r="Q13" i="10" s="1"/>
  <c r="P14" i="10" s="1"/>
  <c r="Q14" i="10" s="1"/>
  <c r="P15" i="10" s="1"/>
  <c r="Q15" i="10" s="1"/>
  <c r="P16" i="10" s="1"/>
  <c r="Q16" i="10" s="1"/>
  <c r="GO5" i="18"/>
  <c r="O6" i="10" l="1"/>
  <c r="N7" i="10" s="1"/>
  <c r="O7" i="10" s="1"/>
  <c r="N8" i="10" s="1"/>
  <c r="O8" i="10" s="1"/>
  <c r="N9" i="10" s="1"/>
  <c r="O9" i="10" s="1"/>
  <c r="N10" i="10" s="1"/>
  <c r="O10" i="10" s="1"/>
  <c r="N11" i="10" s="1"/>
  <c r="O11" i="10" s="1"/>
  <c r="N12" i="10" s="1"/>
  <c r="O12" i="10" s="1"/>
  <c r="N13" i="10" s="1"/>
  <c r="O13" i="10" s="1"/>
  <c r="N14" i="10" s="1"/>
  <c r="O14" i="10" s="1"/>
  <c r="N15" i="10" s="1"/>
  <c r="O15" i="10" s="1"/>
  <c r="N16" i="10" s="1"/>
  <c r="O16" i="10" s="1"/>
</calcChain>
</file>

<file path=xl/connections.xml><?xml version="1.0" encoding="utf-8"?>
<connections xmlns="http://schemas.openxmlformats.org/spreadsheetml/2006/main">
  <connection id="1" name="Verbindung" type="4" refreshedVersion="4" background="1" saveData="1">
    <webPr sourceData="1" parsePre="1" consecutive="1" xl2000="1" url="http://vlab.stern.nyu.edu/welcome/risk" htmlTables="1">
      <tables count="1">
        <x v="2"/>
      </tables>
    </webPr>
  </connection>
  <connection id="2" name="Verbindung1" type="4" refreshedVersion="4" deleted="1" background="1" saveData="1">
    <webPr sourceData="1" parsePre="1" consecutive="1" xl2000="1" htmlTables="1">
      <tables count="1">
        <x v="2"/>
      </tables>
    </webPr>
  </connection>
</connections>
</file>

<file path=xl/sharedStrings.xml><?xml version="1.0" encoding="utf-8"?>
<sst xmlns="http://schemas.openxmlformats.org/spreadsheetml/2006/main" count="78" uniqueCount="38">
  <si>
    <t>No</t>
  </si>
  <si>
    <t>Delta-x</t>
  </si>
  <si>
    <t>delta-y</t>
  </si>
  <si>
    <t>x-start</t>
  </si>
  <si>
    <t>y-start</t>
  </si>
  <si>
    <t>x-end</t>
  </si>
  <si>
    <t>y-end</t>
  </si>
  <si>
    <t>x</t>
  </si>
  <si>
    <t>y</t>
  </si>
  <si>
    <t>Bank Of America</t>
  </si>
  <si>
    <t>MES</t>
  </si>
  <si>
    <t>Systemic Risk</t>
  </si>
  <si>
    <t>LVG</t>
  </si>
  <si>
    <t>SRISK%</t>
  </si>
  <si>
    <t>AAAAAGf/f8s=</t>
  </si>
  <si>
    <t>Ingenieurbüro für Wirtschaftsentwicklung</t>
  </si>
  <si>
    <t>Peter Bretscher</t>
  </si>
  <si>
    <t>Alpsteinstrasse 4, CH 9034 Eggersriet</t>
  </si>
  <si>
    <t>www.bengin.net</t>
  </si>
  <si>
    <t>peter.bretscher@bengin.com</t>
  </si>
  <si>
    <t>Part of Business Engineering Systems</t>
  </si>
  <si>
    <t>Registered Copyright TXu 512 154 © 1992</t>
  </si>
  <si>
    <t>© 2011</t>
  </si>
  <si>
    <t>Kommerzielle Verwendung (Grafik und Excel)</t>
  </si>
  <si>
    <t>erfordert eine entsprechende Lizenz.</t>
  </si>
  <si>
    <t>http://vlab.stern.nyu.edu/welcome/risk</t>
  </si>
  <si>
    <t xml:space="preserve">Quelle / Information Daten: </t>
  </si>
  <si>
    <t>AAAAAD/jRzU=</t>
  </si>
  <si>
    <t>TOP 10</t>
  </si>
  <si>
    <t>Deutsche Bank AG</t>
  </si>
  <si>
    <t>BNP Paribas</t>
  </si>
  <si>
    <t>Barclays PLC</t>
  </si>
  <si>
    <t>Credit Agricole SA</t>
  </si>
  <si>
    <t>Mitsubishi UFJ Financial Group</t>
  </si>
  <si>
    <t>Royal Bank of Scotland Group PLC</t>
  </si>
  <si>
    <t>HSBC Holdings PLC</t>
  </si>
  <si>
    <t>Mizuho Financial Group Inc</t>
  </si>
  <si>
    <t>ING Groep NV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</si>
</sst>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4" fontId="1" fillId="0" borderId="0" xfId="0" applyNumberFormat="1" applyFont="1"/>
    <xf numFmtId="2" fontId="0" fillId="0" borderId="0" xfId="0" applyNumberFormat="1"/>
    <xf numFmtId="2" fontId="1" fillId="0" borderId="0" xfId="0" applyNumberFormat="1" applyFont="1" applyAlignment="1">
      <alignment horizontal="right"/>
    </xf>
    <xf numFmtId="2" fontId="1" fillId="0" borderId="0" xfId="0" applyNumberFormat="1" applyFont="1"/>
    <xf numFmtId="1" fontId="0" fillId="0" borderId="0" xfId="0" applyNumberFormat="1"/>
    <xf numFmtId="0" fontId="0" fillId="0" borderId="0" xfId="0" applyAlignment="1">
      <alignment horizontal="right"/>
    </xf>
    <xf numFmtId="4" fontId="0" fillId="0" borderId="0" xfId="0" applyNumberFormat="1"/>
    <xf numFmtId="164" fontId="0" fillId="0" borderId="0" xfId="0" applyNumberFormat="1" applyAlignment="1">
      <alignment horizontal="right"/>
    </xf>
    <xf numFmtId="164" fontId="0" fillId="0" borderId="0" xfId="0" applyNumberFormat="1"/>
    <xf numFmtId="164" fontId="1" fillId="0" borderId="0" xfId="0" applyNumberFormat="1" applyFont="1" applyAlignment="1">
      <alignment horizontal="right"/>
    </xf>
    <xf numFmtId="0" fontId="2" fillId="0" borderId="0" xfId="0" applyFont="1"/>
    <xf numFmtId="4" fontId="2" fillId="0" borderId="0" xfId="0" applyNumberFormat="1" applyFont="1"/>
    <xf numFmtId="0" fontId="3" fillId="0" borderId="0" xfId="0" applyFont="1" applyBorder="1" applyAlignment="1">
      <alignment vertical="center" wrapText="1"/>
    </xf>
    <xf numFmtId="0" fontId="1" fillId="0" borderId="0" xfId="0" applyFont="1" applyFill="1"/>
    <xf numFmtId="0" fontId="4" fillId="0" borderId="0" xfId="1" applyFill="1"/>
    <xf numFmtId="0" fontId="4" fillId="0" borderId="0" xfId="1"/>
  </cellXfs>
  <cellStyles count="2">
    <cellStyle name="Hyperlink" xfId="1" builtinId="8"/>
    <cellStyle name="Standard" xfId="0" builtinId="0"/>
  </cellStyles>
  <dxfs count="0"/>
  <tableStyles count="0" defaultTableStyle="TableStyleMedium2" defaultPivotStyle="PivotStyleLight16"/>
  <colors>
    <mruColors>
      <color rgb="FFCCEC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'Risk LVG SRISK%'!$D$4</c:f>
          <c:strCache>
            <c:ptCount val="1"/>
            <c:pt idx="0">
              <c:v>Systemic Risk</c:v>
            </c:pt>
          </c:strCache>
        </c:strRef>
      </c:tx>
      <c:layout>
        <c:manualLayout>
          <c:xMode val="edge"/>
          <c:yMode val="edge"/>
          <c:x val="0.40805322116328374"/>
          <c:y val="8.1259561595067604E-3"/>
        </c:manualLayout>
      </c:layout>
      <c:overlay val="0"/>
      <c:txPr>
        <a:bodyPr/>
        <a:lstStyle/>
        <a:p>
          <a:pPr>
            <a:defRPr/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'Risk LVG SRISK%'!$D$5</c:f>
              <c:strCache>
                <c:ptCount val="1"/>
                <c:pt idx="0">
                  <c:v>Deutsche Bank AG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LVG SRISK%'!$N$5:$O$5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100.54</c:v>
                </c:pt>
              </c:numCache>
            </c:numRef>
          </c:xVal>
          <c:yVal>
            <c:numRef>
              <c:f>'Risk LVG SRISK%'!$P$5:$Q$5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4.2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'Risk LVG SRISK%'!$D$6</c:f>
              <c:strCache>
                <c:ptCount val="1"/>
                <c:pt idx="0">
                  <c:v>BNP Paribas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LVG SRISK%'!$N$6:$O$6</c:f>
              <c:numCache>
                <c:formatCode>0.00</c:formatCode>
                <c:ptCount val="2"/>
                <c:pt idx="0">
                  <c:v>100.54</c:v>
                </c:pt>
                <c:pt idx="1">
                  <c:v>166.10000000000002</c:v>
                </c:pt>
              </c:numCache>
            </c:numRef>
          </c:xVal>
          <c:yVal>
            <c:numRef>
              <c:f>'Risk LVG SRISK%'!$P$6:$Q$6</c:f>
              <c:numCache>
                <c:formatCode>0.00</c:formatCode>
                <c:ptCount val="2"/>
                <c:pt idx="0">
                  <c:v>4.2</c:v>
                </c:pt>
                <c:pt idx="1">
                  <c:v>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'Risk LVG SRISK%'!$D$7</c:f>
              <c:strCache>
                <c:ptCount val="1"/>
                <c:pt idx="0">
                  <c:v>Barclays PLC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LVG SRISK%'!$N$7:$O$7</c:f>
              <c:numCache>
                <c:formatCode>0.00</c:formatCode>
                <c:ptCount val="2"/>
                <c:pt idx="0">
                  <c:v>166.10000000000002</c:v>
                </c:pt>
                <c:pt idx="1">
                  <c:v>245.57000000000002</c:v>
                </c:pt>
              </c:numCache>
            </c:numRef>
          </c:xVal>
          <c:yVal>
            <c:numRef>
              <c:f>'Risk LVG SRISK%'!$P$7:$Q$7</c:f>
              <c:numCache>
                <c:formatCode>0.00</c:formatCode>
                <c:ptCount val="2"/>
                <c:pt idx="0">
                  <c:v>8</c:v>
                </c:pt>
                <c:pt idx="1">
                  <c:v>11.2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'Risk LVG SRISK%'!$D$8</c:f>
              <c:strCache>
                <c:ptCount val="1"/>
                <c:pt idx="0">
                  <c:v>Credit Agricole SA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LVG SRISK%'!$N$8:$O$8</c:f>
              <c:numCache>
                <c:formatCode>0.00</c:formatCode>
                <c:ptCount val="2"/>
                <c:pt idx="0">
                  <c:v>245.57000000000002</c:v>
                </c:pt>
                <c:pt idx="1">
                  <c:v>412.40000000000003</c:v>
                </c:pt>
              </c:numCache>
            </c:numRef>
          </c:xVal>
          <c:yVal>
            <c:numRef>
              <c:f>'Risk LVG SRISK%'!$P$8:$Q$8</c:f>
              <c:numCache>
                <c:formatCode>0.00</c:formatCode>
                <c:ptCount val="2"/>
                <c:pt idx="0">
                  <c:v>11.2</c:v>
                </c:pt>
                <c:pt idx="1">
                  <c:v>14.399999999999999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'Risk LVG SRISK%'!$D$9</c:f>
              <c:strCache>
                <c:ptCount val="1"/>
                <c:pt idx="0">
                  <c:v>Mitsubishi UFJ Financial Group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LVG SRISK%'!$N$9:$O$9</c:f>
              <c:numCache>
                <c:formatCode>0.00</c:formatCode>
                <c:ptCount val="2"/>
                <c:pt idx="0">
                  <c:v>412.40000000000003</c:v>
                </c:pt>
                <c:pt idx="1">
                  <c:v>458.91</c:v>
                </c:pt>
              </c:numCache>
            </c:numRef>
          </c:xVal>
          <c:yVal>
            <c:numRef>
              <c:f>'Risk LVG SRISK%'!$P$9:$Q$9</c:f>
              <c:numCache>
                <c:formatCode>0.00</c:formatCode>
                <c:ptCount val="2"/>
                <c:pt idx="0">
                  <c:v>14.399999999999999</c:v>
                </c:pt>
                <c:pt idx="1">
                  <c:v>17.599999999999998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'Risk LVG SRISK%'!$D$10</c:f>
              <c:strCache>
                <c:ptCount val="1"/>
                <c:pt idx="0">
                  <c:v>Royal Bank of Scotland Group PLC</c:v>
                </c:pt>
              </c:strCache>
            </c:strRef>
          </c:tx>
          <c:spPr>
            <a:ln>
              <a:prstDash val="solid"/>
              <a:tailEnd type="stealth" w="lg" len="med"/>
            </a:ln>
          </c:spPr>
          <c:marker>
            <c:symbol val="none"/>
          </c:marker>
          <c:xVal>
            <c:numRef>
              <c:f>'Risk LVG SRISK%'!$N$10:$O$10</c:f>
              <c:numCache>
                <c:formatCode>0.00</c:formatCode>
                <c:ptCount val="2"/>
                <c:pt idx="0">
                  <c:v>458.91</c:v>
                </c:pt>
                <c:pt idx="1">
                  <c:v>528.93000000000006</c:v>
                </c:pt>
              </c:numCache>
            </c:numRef>
          </c:xVal>
          <c:yVal>
            <c:numRef>
              <c:f>'Risk LVG SRISK%'!$P$10:$Q$10</c:f>
              <c:numCache>
                <c:formatCode>0.00</c:formatCode>
                <c:ptCount val="2"/>
                <c:pt idx="0">
                  <c:v>17.599999999999998</c:v>
                </c:pt>
                <c:pt idx="1">
                  <c:v>20.7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'Risk LVG SRISK%'!$D$11</c:f>
              <c:strCache>
                <c:ptCount val="1"/>
                <c:pt idx="0">
                  <c:v>HSBC Holdings PLC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LVG SRISK%'!$N$11:$O$11</c:f>
              <c:numCache>
                <c:formatCode>0.00</c:formatCode>
                <c:ptCount val="2"/>
                <c:pt idx="0">
                  <c:v>528.93000000000006</c:v>
                </c:pt>
                <c:pt idx="1">
                  <c:v>549.5100000000001</c:v>
                </c:pt>
              </c:numCache>
            </c:numRef>
          </c:xVal>
          <c:yVal>
            <c:numRef>
              <c:f>'Risk LVG SRISK%'!$P$11:$Q$11</c:f>
              <c:numCache>
                <c:formatCode>0.00</c:formatCode>
                <c:ptCount val="2"/>
                <c:pt idx="0">
                  <c:v>20.7</c:v>
                </c:pt>
                <c:pt idx="1">
                  <c:v>23.4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'Risk LVG SRISK%'!$D$12</c:f>
              <c:strCache>
                <c:ptCount val="1"/>
                <c:pt idx="0">
                  <c:v>Mizuho Financial Group Inc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LVG SRISK%'!$N$12:$O$12</c:f>
              <c:numCache>
                <c:formatCode>0.00</c:formatCode>
                <c:ptCount val="2"/>
                <c:pt idx="0">
                  <c:v>549.5100000000001</c:v>
                </c:pt>
                <c:pt idx="1">
                  <c:v>616.75000000000011</c:v>
                </c:pt>
              </c:numCache>
            </c:numRef>
          </c:xVal>
          <c:yVal>
            <c:numRef>
              <c:f>'Risk LVG SRISK%'!$P$12:$Q$12</c:f>
              <c:numCache>
                <c:formatCode>0.00</c:formatCode>
                <c:ptCount val="2"/>
                <c:pt idx="0">
                  <c:v>23.4</c:v>
                </c:pt>
                <c:pt idx="1">
                  <c:v>26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'Risk LVG SRISK%'!$D$13</c:f>
              <c:strCache>
                <c:ptCount val="1"/>
                <c:pt idx="0">
                  <c:v>Bank Of America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LVG SRISK%'!$N$13:$O$13</c:f>
              <c:numCache>
                <c:formatCode>0.00</c:formatCode>
                <c:ptCount val="2"/>
                <c:pt idx="0">
                  <c:v>616.75000000000011</c:v>
                </c:pt>
                <c:pt idx="1">
                  <c:v>655.71000000000015</c:v>
                </c:pt>
              </c:numCache>
            </c:numRef>
          </c:xVal>
          <c:yVal>
            <c:numRef>
              <c:f>'Risk LVG SRISK%'!$P$13:$Q$13</c:f>
              <c:numCache>
                <c:formatCode>0.00</c:formatCode>
                <c:ptCount val="2"/>
                <c:pt idx="0">
                  <c:v>26</c:v>
                </c:pt>
                <c:pt idx="1">
                  <c:v>28.6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'Risk LVG SRISK%'!$D$14</c:f>
              <c:strCache>
                <c:ptCount val="1"/>
                <c:pt idx="0">
                  <c:v>ING Groep NV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LVG SRISK%'!$N$14:$O$14</c:f>
              <c:numCache>
                <c:formatCode>0.00</c:formatCode>
                <c:ptCount val="2"/>
                <c:pt idx="0">
                  <c:v>655.71000000000015</c:v>
                </c:pt>
                <c:pt idx="1">
                  <c:v>725.29000000000019</c:v>
                </c:pt>
              </c:numCache>
            </c:numRef>
          </c:xVal>
          <c:yVal>
            <c:numRef>
              <c:f>'Risk LVG SRISK%'!$P$14:$Q$14</c:f>
              <c:numCache>
                <c:formatCode>0.00</c:formatCode>
                <c:ptCount val="2"/>
                <c:pt idx="0">
                  <c:v>28.6</c:v>
                </c:pt>
                <c:pt idx="1">
                  <c:v>31</c:v>
                </c:pt>
              </c:numCache>
            </c:numRef>
          </c:yVal>
          <c:smooth val="0"/>
        </c:ser>
        <c:ser>
          <c:idx val="12"/>
          <c:order val="10"/>
          <c:tx>
            <c:v>Summe A</c:v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('Risk LVG SRISK%'!$N$5,'Risk LVG SRISK%'!$O$16)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725.29000000000019</c:v>
                </c:pt>
              </c:numCache>
            </c:numRef>
          </c:xVal>
          <c:yVal>
            <c:numRef>
              <c:f>('Risk LVG SRISK%'!$P$5,'Risk LVG SRISK%'!$Q$16)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31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5023616"/>
        <c:axId val="175025536"/>
      </c:scatterChart>
      <c:valAx>
        <c:axId val="175023616"/>
        <c:scaling>
          <c:orientation val="minMax"/>
        </c:scaling>
        <c:delete val="0"/>
        <c:axPos val="b"/>
        <c:majorGridlines/>
        <c:title>
          <c:tx>
            <c:strRef>
              <c:f>'Risk LVG SRISK%'!$E$4</c:f>
              <c:strCache>
                <c:ptCount val="1"/>
                <c:pt idx="0">
                  <c:v>LVG</c:v>
                </c:pt>
              </c:strCache>
            </c:strRef>
          </c:tx>
          <c:layout>
            <c:manualLayout>
              <c:xMode val="edge"/>
              <c:yMode val="edge"/>
              <c:x val="0.75294161240219737"/>
              <c:y val="0.95044289158932327"/>
            </c:manualLayout>
          </c:layout>
          <c:overlay val="0"/>
          <c:txPr>
            <a:bodyPr/>
            <a:lstStyle/>
            <a:p>
              <a:pPr>
                <a:defRPr sz="1800"/>
              </a:pPr>
              <a:endParaRPr lang="de-DE"/>
            </a:p>
          </c:txPr>
        </c:title>
        <c:numFmt formatCode="Standard" sourceLinked="1"/>
        <c:majorTickMark val="none"/>
        <c:minorTickMark val="none"/>
        <c:tickLblPos val="nextTo"/>
        <c:crossAx val="175025536"/>
        <c:crosses val="autoZero"/>
        <c:crossBetween val="midCat"/>
      </c:valAx>
      <c:valAx>
        <c:axId val="175025536"/>
        <c:scaling>
          <c:orientation val="minMax"/>
        </c:scaling>
        <c:delete val="0"/>
        <c:axPos val="l"/>
        <c:majorGridlines/>
        <c:title>
          <c:tx>
            <c:strRef>
              <c:f>'Risk LVG SRISK%'!$F$4</c:f>
              <c:strCache>
                <c:ptCount val="1"/>
                <c:pt idx="0">
                  <c:v>SRISK%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800"/>
              </a:pPr>
              <a:endParaRPr lang="de-DE"/>
            </a:p>
          </c:txPr>
        </c:title>
        <c:numFmt formatCode="Standard" sourceLinked="1"/>
        <c:majorTickMark val="none"/>
        <c:minorTickMark val="none"/>
        <c:tickLblPos val="nextTo"/>
        <c:crossAx val="17502361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'Risk MES SRISK%'!$D$4</c:f>
          <c:strCache>
            <c:ptCount val="1"/>
            <c:pt idx="0">
              <c:v>Systemic Risk</c:v>
            </c:pt>
          </c:strCache>
        </c:strRef>
      </c:tx>
      <c:layout>
        <c:manualLayout>
          <c:xMode val="edge"/>
          <c:yMode val="edge"/>
          <c:x val="0.40805322116328374"/>
          <c:y val="8.1259561595067604E-3"/>
        </c:manualLayout>
      </c:layout>
      <c:overlay val="0"/>
      <c:txPr>
        <a:bodyPr/>
        <a:lstStyle/>
        <a:p>
          <a:pPr>
            <a:defRPr/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'Risk MES SRISK%'!$D$5</c:f>
              <c:strCache>
                <c:ptCount val="1"/>
                <c:pt idx="0">
                  <c:v>Deutsche Bank AG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MES SRISK%'!$N$5:$O$5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7.6</c:v>
                </c:pt>
              </c:numCache>
            </c:numRef>
          </c:xVal>
          <c:yVal>
            <c:numRef>
              <c:f>'Risk MES SRISK%'!$P$5:$Q$5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4.2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'Risk MES SRISK%'!$D$6</c:f>
              <c:strCache>
                <c:ptCount val="1"/>
                <c:pt idx="0">
                  <c:v>BNP Paribas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MES SRISK%'!$N$6:$O$6</c:f>
              <c:numCache>
                <c:formatCode>0.00</c:formatCode>
                <c:ptCount val="2"/>
                <c:pt idx="0">
                  <c:v>7.6</c:v>
                </c:pt>
                <c:pt idx="1">
                  <c:v>16.649999999999999</c:v>
                </c:pt>
              </c:numCache>
            </c:numRef>
          </c:xVal>
          <c:yVal>
            <c:numRef>
              <c:f>'Risk MES SRISK%'!$P$6:$Q$6</c:f>
              <c:numCache>
                <c:formatCode>0.00</c:formatCode>
                <c:ptCount val="2"/>
                <c:pt idx="0">
                  <c:v>4.2</c:v>
                </c:pt>
                <c:pt idx="1">
                  <c:v>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'Risk MES SRISK%'!$D$7</c:f>
              <c:strCache>
                <c:ptCount val="1"/>
                <c:pt idx="0">
                  <c:v>Barclays PLC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MES SRISK%'!$N$7:$O$7</c:f>
              <c:numCache>
                <c:formatCode>0.00</c:formatCode>
                <c:ptCount val="2"/>
                <c:pt idx="0">
                  <c:v>16.649999999999999</c:v>
                </c:pt>
                <c:pt idx="1">
                  <c:v>24.24</c:v>
                </c:pt>
              </c:numCache>
            </c:numRef>
          </c:xVal>
          <c:yVal>
            <c:numRef>
              <c:f>'Risk MES SRISK%'!$P$7:$Q$7</c:f>
              <c:numCache>
                <c:formatCode>0.00</c:formatCode>
                <c:ptCount val="2"/>
                <c:pt idx="0">
                  <c:v>8</c:v>
                </c:pt>
                <c:pt idx="1">
                  <c:v>11.2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'Risk MES SRISK%'!$D$8</c:f>
              <c:strCache>
                <c:ptCount val="1"/>
                <c:pt idx="0">
                  <c:v>Credit Agricole SA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MES SRISK%'!$N$8:$O$8</c:f>
              <c:numCache>
                <c:formatCode>0.00</c:formatCode>
                <c:ptCount val="2"/>
                <c:pt idx="0">
                  <c:v>24.24</c:v>
                </c:pt>
                <c:pt idx="1">
                  <c:v>32.369999999999997</c:v>
                </c:pt>
              </c:numCache>
            </c:numRef>
          </c:xVal>
          <c:yVal>
            <c:numRef>
              <c:f>'Risk MES SRISK%'!$P$8:$Q$8</c:f>
              <c:numCache>
                <c:formatCode>0.00</c:formatCode>
                <c:ptCount val="2"/>
                <c:pt idx="0">
                  <c:v>11.2</c:v>
                </c:pt>
                <c:pt idx="1">
                  <c:v>14.399999999999999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'Risk MES SRISK%'!$D$9</c:f>
              <c:strCache>
                <c:ptCount val="1"/>
                <c:pt idx="0">
                  <c:v>Mitsubishi UFJ Financial Group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MES SRISK%'!$N$9:$O$9</c:f>
              <c:numCache>
                <c:formatCode>0.00</c:formatCode>
                <c:ptCount val="2"/>
                <c:pt idx="0">
                  <c:v>32.369999999999997</c:v>
                </c:pt>
                <c:pt idx="1">
                  <c:v>34.5</c:v>
                </c:pt>
              </c:numCache>
            </c:numRef>
          </c:xVal>
          <c:yVal>
            <c:numRef>
              <c:f>'Risk MES SRISK%'!$P$9:$Q$9</c:f>
              <c:numCache>
                <c:formatCode>0.00</c:formatCode>
                <c:ptCount val="2"/>
                <c:pt idx="0">
                  <c:v>14.399999999999999</c:v>
                </c:pt>
                <c:pt idx="1">
                  <c:v>17.599999999999998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'Risk MES SRISK%'!$D$10</c:f>
              <c:strCache>
                <c:ptCount val="1"/>
                <c:pt idx="0">
                  <c:v>Royal Bank of Scotland Group PLC</c:v>
                </c:pt>
              </c:strCache>
            </c:strRef>
          </c:tx>
          <c:spPr>
            <a:ln>
              <a:prstDash val="solid"/>
              <a:tailEnd type="stealth" w="lg" len="med"/>
            </a:ln>
          </c:spPr>
          <c:marker>
            <c:symbol val="none"/>
          </c:marker>
          <c:xVal>
            <c:numRef>
              <c:f>'Risk MES SRISK%'!$N$10:$O$10</c:f>
              <c:numCache>
                <c:formatCode>0.00</c:formatCode>
                <c:ptCount val="2"/>
                <c:pt idx="0">
                  <c:v>34.5</c:v>
                </c:pt>
                <c:pt idx="1">
                  <c:v>42.26</c:v>
                </c:pt>
              </c:numCache>
            </c:numRef>
          </c:xVal>
          <c:yVal>
            <c:numRef>
              <c:f>'Risk MES SRISK%'!$P$10:$Q$10</c:f>
              <c:numCache>
                <c:formatCode>0.00</c:formatCode>
                <c:ptCount val="2"/>
                <c:pt idx="0">
                  <c:v>17.599999999999998</c:v>
                </c:pt>
                <c:pt idx="1">
                  <c:v>20.7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'Risk MES SRISK%'!$D$11</c:f>
              <c:strCache>
                <c:ptCount val="1"/>
                <c:pt idx="0">
                  <c:v>HSBC Holdings PLC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MES SRISK%'!$N$11:$O$11</c:f>
              <c:numCache>
                <c:formatCode>0.00</c:formatCode>
                <c:ptCount val="2"/>
                <c:pt idx="0">
                  <c:v>42.26</c:v>
                </c:pt>
                <c:pt idx="1">
                  <c:v>46.589999999999996</c:v>
                </c:pt>
              </c:numCache>
            </c:numRef>
          </c:xVal>
          <c:yVal>
            <c:numRef>
              <c:f>'Risk MES SRISK%'!$P$11:$Q$11</c:f>
              <c:numCache>
                <c:formatCode>0.00</c:formatCode>
                <c:ptCount val="2"/>
                <c:pt idx="0">
                  <c:v>20.7</c:v>
                </c:pt>
                <c:pt idx="1">
                  <c:v>23.4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'Risk MES SRISK%'!$D$12</c:f>
              <c:strCache>
                <c:ptCount val="1"/>
                <c:pt idx="0">
                  <c:v>Mizuho Financial Group Inc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MES SRISK%'!$N$12:$O$12</c:f>
              <c:numCache>
                <c:formatCode>0.00</c:formatCode>
                <c:ptCount val="2"/>
                <c:pt idx="0">
                  <c:v>46.589999999999996</c:v>
                </c:pt>
                <c:pt idx="1">
                  <c:v>48.769999999999996</c:v>
                </c:pt>
              </c:numCache>
            </c:numRef>
          </c:xVal>
          <c:yVal>
            <c:numRef>
              <c:f>'Risk MES SRISK%'!$P$12:$Q$12</c:f>
              <c:numCache>
                <c:formatCode>0.00</c:formatCode>
                <c:ptCount val="2"/>
                <c:pt idx="0">
                  <c:v>23.4</c:v>
                </c:pt>
                <c:pt idx="1">
                  <c:v>26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'Risk MES SRISK%'!$D$13</c:f>
              <c:strCache>
                <c:ptCount val="1"/>
                <c:pt idx="0">
                  <c:v>Bank Of America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MES SRISK%'!$N$13:$O$13</c:f>
              <c:numCache>
                <c:formatCode>0.00</c:formatCode>
                <c:ptCount val="2"/>
                <c:pt idx="0">
                  <c:v>48.769999999999996</c:v>
                </c:pt>
                <c:pt idx="1">
                  <c:v>54.209999999999994</c:v>
                </c:pt>
              </c:numCache>
            </c:numRef>
          </c:xVal>
          <c:yVal>
            <c:numRef>
              <c:f>'Risk MES SRISK%'!$P$13:$Q$13</c:f>
              <c:numCache>
                <c:formatCode>0.00</c:formatCode>
                <c:ptCount val="2"/>
                <c:pt idx="0">
                  <c:v>26</c:v>
                </c:pt>
                <c:pt idx="1">
                  <c:v>28.6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'Risk MES SRISK%'!$D$14</c:f>
              <c:strCache>
                <c:ptCount val="1"/>
                <c:pt idx="0">
                  <c:v>ING Groep NV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MES SRISK%'!$N$14:$O$14</c:f>
              <c:numCache>
                <c:formatCode>0.00</c:formatCode>
                <c:ptCount val="2"/>
                <c:pt idx="0">
                  <c:v>54.209999999999994</c:v>
                </c:pt>
                <c:pt idx="1">
                  <c:v>64.449999999999989</c:v>
                </c:pt>
              </c:numCache>
            </c:numRef>
          </c:xVal>
          <c:yVal>
            <c:numRef>
              <c:f>'Risk MES SRISK%'!$P$14:$Q$14</c:f>
              <c:numCache>
                <c:formatCode>0.00</c:formatCode>
                <c:ptCount val="2"/>
                <c:pt idx="0">
                  <c:v>28.6</c:v>
                </c:pt>
                <c:pt idx="1">
                  <c:v>31</c:v>
                </c:pt>
              </c:numCache>
            </c:numRef>
          </c:yVal>
          <c:smooth val="0"/>
        </c:ser>
        <c:ser>
          <c:idx val="12"/>
          <c:order val="10"/>
          <c:tx>
            <c:v>Summe A</c:v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('Risk MES SRISK%'!$N$5,'Risk MES SRISK%'!$O$16)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64.449999999999989</c:v>
                </c:pt>
              </c:numCache>
            </c:numRef>
          </c:xVal>
          <c:yVal>
            <c:numRef>
              <c:f>('Risk MES SRISK%'!$P$5,'Risk MES SRISK%'!$Q$16)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31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2379648"/>
        <c:axId val="182381568"/>
      </c:scatterChart>
      <c:valAx>
        <c:axId val="182379648"/>
        <c:scaling>
          <c:orientation val="minMax"/>
        </c:scaling>
        <c:delete val="0"/>
        <c:axPos val="b"/>
        <c:majorGridlines/>
        <c:title>
          <c:tx>
            <c:strRef>
              <c:f>'Risk MES SRISK%'!$E$4</c:f>
              <c:strCache>
                <c:ptCount val="1"/>
                <c:pt idx="0">
                  <c:v>MES</c:v>
                </c:pt>
              </c:strCache>
            </c:strRef>
          </c:tx>
          <c:layout>
            <c:manualLayout>
              <c:xMode val="edge"/>
              <c:yMode val="edge"/>
              <c:x val="0.75294161240219737"/>
              <c:y val="0.95044289158932327"/>
            </c:manualLayout>
          </c:layout>
          <c:overlay val="0"/>
          <c:txPr>
            <a:bodyPr/>
            <a:lstStyle/>
            <a:p>
              <a:pPr>
                <a:defRPr sz="1800"/>
              </a:pPr>
              <a:endParaRPr lang="de-DE"/>
            </a:p>
          </c:txPr>
        </c:title>
        <c:numFmt formatCode="Standard" sourceLinked="1"/>
        <c:majorTickMark val="none"/>
        <c:minorTickMark val="none"/>
        <c:tickLblPos val="nextTo"/>
        <c:crossAx val="182381568"/>
        <c:crosses val="autoZero"/>
        <c:crossBetween val="midCat"/>
      </c:valAx>
      <c:valAx>
        <c:axId val="182381568"/>
        <c:scaling>
          <c:orientation val="minMax"/>
        </c:scaling>
        <c:delete val="0"/>
        <c:axPos val="l"/>
        <c:majorGridlines/>
        <c:title>
          <c:tx>
            <c:strRef>
              <c:f>'Risk MES SRISK%'!$F$4</c:f>
              <c:strCache>
                <c:ptCount val="1"/>
                <c:pt idx="0">
                  <c:v>SRISK%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800"/>
              </a:pPr>
              <a:endParaRPr lang="de-DE"/>
            </a:p>
          </c:txPr>
        </c:title>
        <c:numFmt formatCode="Standard" sourceLinked="1"/>
        <c:majorTickMark val="none"/>
        <c:minorTickMark val="none"/>
        <c:tickLblPos val="nextTo"/>
        <c:crossAx val="182379648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'Risk MES LVG'!$D$4</c:f>
          <c:strCache>
            <c:ptCount val="1"/>
            <c:pt idx="0">
              <c:v>Systemic Risk</c:v>
            </c:pt>
          </c:strCache>
        </c:strRef>
      </c:tx>
      <c:layout>
        <c:manualLayout>
          <c:xMode val="edge"/>
          <c:yMode val="edge"/>
          <c:x val="0.40805322116328374"/>
          <c:y val="8.1259561595067604E-3"/>
        </c:manualLayout>
      </c:layout>
      <c:overlay val="0"/>
      <c:txPr>
        <a:bodyPr/>
        <a:lstStyle/>
        <a:p>
          <a:pPr>
            <a:defRPr/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'Risk MES LVG'!$D$5</c:f>
              <c:strCache>
                <c:ptCount val="1"/>
                <c:pt idx="0">
                  <c:v>Deutsche Bank AG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MES LVG'!$N$5:$O$5</c:f>
              <c:numCache>
                <c:formatCode>0.00</c:formatCode>
                <c:ptCount val="2"/>
                <c:pt idx="0">
                  <c:v>0</c:v>
                </c:pt>
                <c:pt idx="1">
                  <c:v>7.6</c:v>
                </c:pt>
              </c:numCache>
            </c:numRef>
          </c:xVal>
          <c:yVal>
            <c:numRef>
              <c:f>'Risk MES LVG'!$P$5:$Q$5</c:f>
              <c:numCache>
                <c:formatCode>0.00</c:formatCode>
                <c:ptCount val="2"/>
                <c:pt idx="0">
                  <c:v>0</c:v>
                </c:pt>
                <c:pt idx="1">
                  <c:v>100.54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'Risk MES LVG'!$D$6</c:f>
              <c:strCache>
                <c:ptCount val="1"/>
                <c:pt idx="0">
                  <c:v>BNP Paribas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MES LVG'!$N$6:$O$6</c:f>
              <c:numCache>
                <c:formatCode>0.00</c:formatCode>
                <c:ptCount val="2"/>
                <c:pt idx="0">
                  <c:v>7.6</c:v>
                </c:pt>
                <c:pt idx="1">
                  <c:v>16.649999999999999</c:v>
                </c:pt>
              </c:numCache>
            </c:numRef>
          </c:xVal>
          <c:yVal>
            <c:numRef>
              <c:f>'Risk MES LVG'!$P$6:$Q$6</c:f>
              <c:numCache>
                <c:formatCode>0.00</c:formatCode>
                <c:ptCount val="2"/>
                <c:pt idx="0">
                  <c:v>100.54</c:v>
                </c:pt>
                <c:pt idx="1">
                  <c:v>166.10000000000002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'Risk MES LVG'!$D$7</c:f>
              <c:strCache>
                <c:ptCount val="1"/>
                <c:pt idx="0">
                  <c:v>Barclays PLC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MES LVG'!$N$7:$O$7</c:f>
              <c:numCache>
                <c:formatCode>0.00</c:formatCode>
                <c:ptCount val="2"/>
                <c:pt idx="0">
                  <c:v>16.649999999999999</c:v>
                </c:pt>
                <c:pt idx="1">
                  <c:v>24.24</c:v>
                </c:pt>
              </c:numCache>
            </c:numRef>
          </c:xVal>
          <c:yVal>
            <c:numRef>
              <c:f>'Risk MES LVG'!$P$7:$Q$7</c:f>
              <c:numCache>
                <c:formatCode>0.00</c:formatCode>
                <c:ptCount val="2"/>
                <c:pt idx="0">
                  <c:v>166.10000000000002</c:v>
                </c:pt>
                <c:pt idx="1">
                  <c:v>245.57000000000002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'Risk MES LVG'!$D$8</c:f>
              <c:strCache>
                <c:ptCount val="1"/>
                <c:pt idx="0">
                  <c:v>Credit Agricole SA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MES LVG'!$N$8:$O$8</c:f>
              <c:numCache>
                <c:formatCode>0.00</c:formatCode>
                <c:ptCount val="2"/>
                <c:pt idx="0">
                  <c:v>24.24</c:v>
                </c:pt>
                <c:pt idx="1">
                  <c:v>32.369999999999997</c:v>
                </c:pt>
              </c:numCache>
            </c:numRef>
          </c:xVal>
          <c:yVal>
            <c:numRef>
              <c:f>'Risk MES LVG'!$P$8:$Q$8</c:f>
              <c:numCache>
                <c:formatCode>0.00</c:formatCode>
                <c:ptCount val="2"/>
                <c:pt idx="0">
                  <c:v>245.57000000000002</c:v>
                </c:pt>
                <c:pt idx="1">
                  <c:v>412.40000000000003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'Risk MES LVG'!$D$9</c:f>
              <c:strCache>
                <c:ptCount val="1"/>
                <c:pt idx="0">
                  <c:v>Mitsubishi UFJ Financial Group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MES LVG'!$N$9:$O$9</c:f>
              <c:numCache>
                <c:formatCode>0.00</c:formatCode>
                <c:ptCount val="2"/>
                <c:pt idx="0">
                  <c:v>32.369999999999997</c:v>
                </c:pt>
                <c:pt idx="1">
                  <c:v>34.5</c:v>
                </c:pt>
              </c:numCache>
            </c:numRef>
          </c:xVal>
          <c:yVal>
            <c:numRef>
              <c:f>'Risk MES LVG'!$P$9:$Q$9</c:f>
              <c:numCache>
                <c:formatCode>0.00</c:formatCode>
                <c:ptCount val="2"/>
                <c:pt idx="0">
                  <c:v>412.40000000000003</c:v>
                </c:pt>
                <c:pt idx="1">
                  <c:v>458.91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'Risk MES LVG'!$D$10</c:f>
              <c:strCache>
                <c:ptCount val="1"/>
                <c:pt idx="0">
                  <c:v>Royal Bank of Scotland Group PLC</c:v>
                </c:pt>
              </c:strCache>
            </c:strRef>
          </c:tx>
          <c:spPr>
            <a:ln>
              <a:prstDash val="solid"/>
              <a:tailEnd type="stealth" w="lg" len="med"/>
            </a:ln>
          </c:spPr>
          <c:marker>
            <c:symbol val="none"/>
          </c:marker>
          <c:xVal>
            <c:numRef>
              <c:f>'Risk MES LVG'!$N$10:$O$10</c:f>
              <c:numCache>
                <c:formatCode>0.00</c:formatCode>
                <c:ptCount val="2"/>
                <c:pt idx="0">
                  <c:v>34.5</c:v>
                </c:pt>
                <c:pt idx="1">
                  <c:v>42.26</c:v>
                </c:pt>
              </c:numCache>
            </c:numRef>
          </c:xVal>
          <c:yVal>
            <c:numRef>
              <c:f>'Risk MES LVG'!$P$10:$Q$10</c:f>
              <c:numCache>
                <c:formatCode>0.00</c:formatCode>
                <c:ptCount val="2"/>
                <c:pt idx="0">
                  <c:v>458.91</c:v>
                </c:pt>
                <c:pt idx="1">
                  <c:v>528.93000000000006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'Risk MES LVG'!$D$11</c:f>
              <c:strCache>
                <c:ptCount val="1"/>
                <c:pt idx="0">
                  <c:v>HSBC Holdings PLC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MES LVG'!$N$11:$O$11</c:f>
              <c:numCache>
                <c:formatCode>0.00</c:formatCode>
                <c:ptCount val="2"/>
                <c:pt idx="0">
                  <c:v>42.26</c:v>
                </c:pt>
                <c:pt idx="1">
                  <c:v>46.589999999999996</c:v>
                </c:pt>
              </c:numCache>
            </c:numRef>
          </c:xVal>
          <c:yVal>
            <c:numRef>
              <c:f>'Risk MES LVG'!$P$11:$Q$11</c:f>
              <c:numCache>
                <c:formatCode>0.00</c:formatCode>
                <c:ptCount val="2"/>
                <c:pt idx="0">
                  <c:v>528.93000000000006</c:v>
                </c:pt>
                <c:pt idx="1">
                  <c:v>549.5100000000001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'Risk MES LVG'!$D$12</c:f>
              <c:strCache>
                <c:ptCount val="1"/>
                <c:pt idx="0">
                  <c:v>Mizuho Financial Group Inc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MES LVG'!$N$12:$O$12</c:f>
              <c:numCache>
                <c:formatCode>0.00</c:formatCode>
                <c:ptCount val="2"/>
                <c:pt idx="0">
                  <c:v>46.589999999999996</c:v>
                </c:pt>
                <c:pt idx="1">
                  <c:v>48.769999999999996</c:v>
                </c:pt>
              </c:numCache>
            </c:numRef>
          </c:xVal>
          <c:yVal>
            <c:numRef>
              <c:f>'Risk MES LVG'!$P$12:$Q$12</c:f>
              <c:numCache>
                <c:formatCode>0.00</c:formatCode>
                <c:ptCount val="2"/>
                <c:pt idx="0">
                  <c:v>549.5100000000001</c:v>
                </c:pt>
                <c:pt idx="1">
                  <c:v>616.75000000000011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'Risk MES LVG'!$D$13</c:f>
              <c:strCache>
                <c:ptCount val="1"/>
                <c:pt idx="0">
                  <c:v>Bank Of America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MES LVG'!$N$13:$O$13</c:f>
              <c:numCache>
                <c:formatCode>0.00</c:formatCode>
                <c:ptCount val="2"/>
                <c:pt idx="0">
                  <c:v>48.769999999999996</c:v>
                </c:pt>
                <c:pt idx="1">
                  <c:v>54.209999999999994</c:v>
                </c:pt>
              </c:numCache>
            </c:numRef>
          </c:xVal>
          <c:yVal>
            <c:numRef>
              <c:f>'Risk MES LVG'!$P$13:$Q$13</c:f>
              <c:numCache>
                <c:formatCode>0.00</c:formatCode>
                <c:ptCount val="2"/>
                <c:pt idx="0">
                  <c:v>616.75000000000011</c:v>
                </c:pt>
                <c:pt idx="1">
                  <c:v>655.71000000000015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'Risk MES LVG'!$D$14</c:f>
              <c:strCache>
                <c:ptCount val="1"/>
                <c:pt idx="0">
                  <c:v>ING Groep NV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MES LVG'!$N$14:$O$14</c:f>
              <c:numCache>
                <c:formatCode>0.00</c:formatCode>
                <c:ptCount val="2"/>
                <c:pt idx="0">
                  <c:v>54.209999999999994</c:v>
                </c:pt>
                <c:pt idx="1">
                  <c:v>64.449999999999989</c:v>
                </c:pt>
              </c:numCache>
            </c:numRef>
          </c:xVal>
          <c:yVal>
            <c:numRef>
              <c:f>'Risk MES LVG'!$P$14:$Q$14</c:f>
              <c:numCache>
                <c:formatCode>0.00</c:formatCode>
                <c:ptCount val="2"/>
                <c:pt idx="0">
                  <c:v>655.71000000000015</c:v>
                </c:pt>
                <c:pt idx="1">
                  <c:v>725.29000000000019</c:v>
                </c:pt>
              </c:numCache>
            </c:numRef>
          </c:yVal>
          <c:smooth val="0"/>
        </c:ser>
        <c:ser>
          <c:idx val="12"/>
          <c:order val="10"/>
          <c:tx>
            <c:v>Summe A</c:v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('Risk MES LVG'!$N$5,'Risk MES LVG'!$O$16)</c:f>
              <c:numCache>
                <c:formatCode>0.00</c:formatCode>
                <c:ptCount val="2"/>
                <c:pt idx="0">
                  <c:v>0</c:v>
                </c:pt>
                <c:pt idx="1">
                  <c:v>64.449999999999989</c:v>
                </c:pt>
              </c:numCache>
            </c:numRef>
          </c:xVal>
          <c:yVal>
            <c:numRef>
              <c:f>('Risk MES LVG'!$P$5,'Risk MES LVG'!$Q$16)</c:f>
              <c:numCache>
                <c:formatCode>0.00</c:formatCode>
                <c:ptCount val="2"/>
                <c:pt idx="0">
                  <c:v>0</c:v>
                </c:pt>
                <c:pt idx="1">
                  <c:v>725.29000000000019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257280"/>
        <c:axId val="194259200"/>
      </c:scatterChart>
      <c:valAx>
        <c:axId val="194257280"/>
        <c:scaling>
          <c:orientation val="minMax"/>
        </c:scaling>
        <c:delete val="0"/>
        <c:axPos val="b"/>
        <c:majorGridlines/>
        <c:title>
          <c:tx>
            <c:strRef>
              <c:f>'Risk MES LVG'!$E$4</c:f>
              <c:strCache>
                <c:ptCount val="1"/>
                <c:pt idx="0">
                  <c:v>MES</c:v>
                </c:pt>
              </c:strCache>
            </c:strRef>
          </c:tx>
          <c:layout>
            <c:manualLayout>
              <c:xMode val="edge"/>
              <c:yMode val="edge"/>
              <c:x val="0.75294161240219737"/>
              <c:y val="0.95044289158932327"/>
            </c:manualLayout>
          </c:layout>
          <c:overlay val="0"/>
          <c:txPr>
            <a:bodyPr/>
            <a:lstStyle/>
            <a:p>
              <a:pPr>
                <a:defRPr sz="1800"/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crossAx val="194259200"/>
        <c:crosses val="autoZero"/>
        <c:crossBetween val="midCat"/>
      </c:valAx>
      <c:valAx>
        <c:axId val="194259200"/>
        <c:scaling>
          <c:orientation val="minMax"/>
        </c:scaling>
        <c:delete val="0"/>
        <c:axPos val="l"/>
        <c:majorGridlines/>
        <c:title>
          <c:tx>
            <c:strRef>
              <c:f>'Risk MES LVG'!$F$4</c:f>
              <c:strCache>
                <c:ptCount val="1"/>
                <c:pt idx="0">
                  <c:v>LVG</c:v>
                </c:pt>
              </c:strCache>
            </c:strRef>
          </c:tx>
          <c:layout/>
          <c:overlay val="0"/>
          <c:txPr>
            <a:bodyPr/>
            <a:lstStyle/>
            <a:p>
              <a:pPr>
                <a:defRPr sz="1800"/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crossAx val="19425728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'Risk LVG SRISK%'!$D$4</c:f>
          <c:strCache>
            <c:ptCount val="1"/>
            <c:pt idx="0">
              <c:v>Systemic Risk</c:v>
            </c:pt>
          </c:strCache>
        </c:strRef>
      </c:tx>
      <c:layout>
        <c:manualLayout>
          <c:xMode val="edge"/>
          <c:yMode val="edge"/>
          <c:x val="0.40805322116328374"/>
          <c:y val="8.1259561595067604E-3"/>
        </c:manualLayout>
      </c:layout>
      <c:overlay val="0"/>
      <c:txPr>
        <a:bodyPr/>
        <a:lstStyle/>
        <a:p>
          <a:pPr>
            <a:defRPr/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'Risk LVG SRISK%'!$D$5</c:f>
              <c:strCache>
                <c:ptCount val="1"/>
                <c:pt idx="0">
                  <c:v>Deutsche Bank AG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LVG SRISK%'!$N$5:$O$5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100.54</c:v>
                </c:pt>
              </c:numCache>
            </c:numRef>
          </c:xVal>
          <c:yVal>
            <c:numRef>
              <c:f>'Risk LVG SRISK%'!$P$5:$Q$5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4.2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'Risk LVG SRISK%'!$D$6</c:f>
              <c:strCache>
                <c:ptCount val="1"/>
                <c:pt idx="0">
                  <c:v>BNP Paribas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LVG SRISK%'!$N$6:$O$6</c:f>
              <c:numCache>
                <c:formatCode>0.00</c:formatCode>
                <c:ptCount val="2"/>
                <c:pt idx="0">
                  <c:v>100.54</c:v>
                </c:pt>
                <c:pt idx="1">
                  <c:v>166.10000000000002</c:v>
                </c:pt>
              </c:numCache>
            </c:numRef>
          </c:xVal>
          <c:yVal>
            <c:numRef>
              <c:f>'Risk LVG SRISK%'!$P$6:$Q$6</c:f>
              <c:numCache>
                <c:formatCode>0.00</c:formatCode>
                <c:ptCount val="2"/>
                <c:pt idx="0">
                  <c:v>4.2</c:v>
                </c:pt>
                <c:pt idx="1">
                  <c:v>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'Risk LVG SRISK%'!$D$7</c:f>
              <c:strCache>
                <c:ptCount val="1"/>
                <c:pt idx="0">
                  <c:v>Barclays PLC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LVG SRISK%'!$N$7:$O$7</c:f>
              <c:numCache>
                <c:formatCode>0.00</c:formatCode>
                <c:ptCount val="2"/>
                <c:pt idx="0">
                  <c:v>166.10000000000002</c:v>
                </c:pt>
                <c:pt idx="1">
                  <c:v>245.57000000000002</c:v>
                </c:pt>
              </c:numCache>
            </c:numRef>
          </c:xVal>
          <c:yVal>
            <c:numRef>
              <c:f>'Risk LVG SRISK%'!$P$7:$Q$7</c:f>
              <c:numCache>
                <c:formatCode>0.00</c:formatCode>
                <c:ptCount val="2"/>
                <c:pt idx="0">
                  <c:v>8</c:v>
                </c:pt>
                <c:pt idx="1">
                  <c:v>11.2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'Risk LVG SRISK%'!$D$8</c:f>
              <c:strCache>
                <c:ptCount val="1"/>
                <c:pt idx="0">
                  <c:v>Credit Agricole SA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LVG SRISK%'!$N$8:$O$8</c:f>
              <c:numCache>
                <c:formatCode>0.00</c:formatCode>
                <c:ptCount val="2"/>
                <c:pt idx="0">
                  <c:v>245.57000000000002</c:v>
                </c:pt>
                <c:pt idx="1">
                  <c:v>412.40000000000003</c:v>
                </c:pt>
              </c:numCache>
            </c:numRef>
          </c:xVal>
          <c:yVal>
            <c:numRef>
              <c:f>'Risk LVG SRISK%'!$P$8:$Q$8</c:f>
              <c:numCache>
                <c:formatCode>0.00</c:formatCode>
                <c:ptCount val="2"/>
                <c:pt idx="0">
                  <c:v>11.2</c:v>
                </c:pt>
                <c:pt idx="1">
                  <c:v>14.399999999999999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'Risk LVG SRISK%'!$D$9</c:f>
              <c:strCache>
                <c:ptCount val="1"/>
                <c:pt idx="0">
                  <c:v>Mitsubishi UFJ Financial Group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LVG SRISK%'!$N$9:$O$9</c:f>
              <c:numCache>
                <c:formatCode>0.00</c:formatCode>
                <c:ptCount val="2"/>
                <c:pt idx="0">
                  <c:v>412.40000000000003</c:v>
                </c:pt>
                <c:pt idx="1">
                  <c:v>458.91</c:v>
                </c:pt>
              </c:numCache>
            </c:numRef>
          </c:xVal>
          <c:yVal>
            <c:numRef>
              <c:f>'Risk LVG SRISK%'!$P$9:$Q$9</c:f>
              <c:numCache>
                <c:formatCode>0.00</c:formatCode>
                <c:ptCount val="2"/>
                <c:pt idx="0">
                  <c:v>14.399999999999999</c:v>
                </c:pt>
                <c:pt idx="1">
                  <c:v>17.599999999999998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'Risk LVG SRISK%'!$D$10</c:f>
              <c:strCache>
                <c:ptCount val="1"/>
                <c:pt idx="0">
                  <c:v>Royal Bank of Scotland Group PLC</c:v>
                </c:pt>
              </c:strCache>
            </c:strRef>
          </c:tx>
          <c:spPr>
            <a:ln>
              <a:prstDash val="solid"/>
              <a:tailEnd type="stealth" w="lg" len="med"/>
            </a:ln>
          </c:spPr>
          <c:marker>
            <c:symbol val="none"/>
          </c:marker>
          <c:xVal>
            <c:numRef>
              <c:f>'Risk LVG SRISK%'!$N$10:$O$10</c:f>
              <c:numCache>
                <c:formatCode>0.00</c:formatCode>
                <c:ptCount val="2"/>
                <c:pt idx="0">
                  <c:v>458.91</c:v>
                </c:pt>
                <c:pt idx="1">
                  <c:v>528.93000000000006</c:v>
                </c:pt>
              </c:numCache>
            </c:numRef>
          </c:xVal>
          <c:yVal>
            <c:numRef>
              <c:f>'Risk LVG SRISK%'!$P$10:$Q$10</c:f>
              <c:numCache>
                <c:formatCode>0.00</c:formatCode>
                <c:ptCount val="2"/>
                <c:pt idx="0">
                  <c:v>17.599999999999998</c:v>
                </c:pt>
                <c:pt idx="1">
                  <c:v>20.7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'Risk LVG SRISK%'!$D$11</c:f>
              <c:strCache>
                <c:ptCount val="1"/>
                <c:pt idx="0">
                  <c:v>HSBC Holdings PLC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LVG SRISK%'!$N$11:$O$11</c:f>
              <c:numCache>
                <c:formatCode>0.00</c:formatCode>
                <c:ptCount val="2"/>
                <c:pt idx="0">
                  <c:v>528.93000000000006</c:v>
                </c:pt>
                <c:pt idx="1">
                  <c:v>549.5100000000001</c:v>
                </c:pt>
              </c:numCache>
            </c:numRef>
          </c:xVal>
          <c:yVal>
            <c:numRef>
              <c:f>'Risk LVG SRISK%'!$P$11:$Q$11</c:f>
              <c:numCache>
                <c:formatCode>0.00</c:formatCode>
                <c:ptCount val="2"/>
                <c:pt idx="0">
                  <c:v>20.7</c:v>
                </c:pt>
                <c:pt idx="1">
                  <c:v>23.4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'Risk LVG SRISK%'!$D$12</c:f>
              <c:strCache>
                <c:ptCount val="1"/>
                <c:pt idx="0">
                  <c:v>Mizuho Financial Group Inc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LVG SRISK%'!$N$12:$O$12</c:f>
              <c:numCache>
                <c:formatCode>0.00</c:formatCode>
                <c:ptCount val="2"/>
                <c:pt idx="0">
                  <c:v>549.5100000000001</c:v>
                </c:pt>
                <c:pt idx="1">
                  <c:v>616.75000000000011</c:v>
                </c:pt>
              </c:numCache>
            </c:numRef>
          </c:xVal>
          <c:yVal>
            <c:numRef>
              <c:f>'Risk LVG SRISK%'!$P$12:$Q$12</c:f>
              <c:numCache>
                <c:formatCode>0.00</c:formatCode>
                <c:ptCount val="2"/>
                <c:pt idx="0">
                  <c:v>23.4</c:v>
                </c:pt>
                <c:pt idx="1">
                  <c:v>26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'Risk LVG SRISK%'!$D$13</c:f>
              <c:strCache>
                <c:ptCount val="1"/>
                <c:pt idx="0">
                  <c:v>Bank Of America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LVG SRISK%'!$N$13:$O$13</c:f>
              <c:numCache>
                <c:formatCode>0.00</c:formatCode>
                <c:ptCount val="2"/>
                <c:pt idx="0">
                  <c:v>616.75000000000011</c:v>
                </c:pt>
                <c:pt idx="1">
                  <c:v>655.71000000000015</c:v>
                </c:pt>
              </c:numCache>
            </c:numRef>
          </c:xVal>
          <c:yVal>
            <c:numRef>
              <c:f>'Risk LVG SRISK%'!$P$13:$Q$13</c:f>
              <c:numCache>
                <c:formatCode>0.00</c:formatCode>
                <c:ptCount val="2"/>
                <c:pt idx="0">
                  <c:v>26</c:v>
                </c:pt>
                <c:pt idx="1">
                  <c:v>28.6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'Risk LVG SRISK%'!$D$14</c:f>
              <c:strCache>
                <c:ptCount val="1"/>
                <c:pt idx="0">
                  <c:v>ING Groep NV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LVG SRISK%'!$N$14:$O$14</c:f>
              <c:numCache>
                <c:formatCode>0.00</c:formatCode>
                <c:ptCount val="2"/>
                <c:pt idx="0">
                  <c:v>655.71000000000015</c:v>
                </c:pt>
                <c:pt idx="1">
                  <c:v>725.29000000000019</c:v>
                </c:pt>
              </c:numCache>
            </c:numRef>
          </c:xVal>
          <c:yVal>
            <c:numRef>
              <c:f>'Risk LVG SRISK%'!$P$14:$Q$14</c:f>
              <c:numCache>
                <c:formatCode>0.00</c:formatCode>
                <c:ptCount val="2"/>
                <c:pt idx="0">
                  <c:v>28.6</c:v>
                </c:pt>
                <c:pt idx="1">
                  <c:v>31</c:v>
                </c:pt>
              </c:numCache>
            </c:numRef>
          </c:yVal>
          <c:smooth val="0"/>
        </c:ser>
        <c:ser>
          <c:idx val="12"/>
          <c:order val="10"/>
          <c:tx>
            <c:v>Summe A</c:v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('Risk LVG SRISK%'!$N$5,'Risk LVG SRISK%'!$O$16)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725.29000000000019</c:v>
                </c:pt>
              </c:numCache>
            </c:numRef>
          </c:xVal>
          <c:yVal>
            <c:numRef>
              <c:f>('Risk LVG SRISK%'!$P$5,'Risk LVG SRISK%'!$Q$16)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31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5528192"/>
        <c:axId val="195530112"/>
      </c:scatterChart>
      <c:valAx>
        <c:axId val="195528192"/>
        <c:scaling>
          <c:orientation val="minMax"/>
        </c:scaling>
        <c:delete val="0"/>
        <c:axPos val="b"/>
        <c:majorGridlines/>
        <c:title>
          <c:tx>
            <c:strRef>
              <c:f>'Risk LVG SRISK%'!$E$4</c:f>
              <c:strCache>
                <c:ptCount val="1"/>
                <c:pt idx="0">
                  <c:v>LVG</c:v>
                </c:pt>
              </c:strCache>
            </c:strRef>
          </c:tx>
          <c:layout>
            <c:manualLayout>
              <c:xMode val="edge"/>
              <c:yMode val="edge"/>
              <c:x val="0.75294161240219737"/>
              <c:y val="0.95044289158932327"/>
            </c:manualLayout>
          </c:layout>
          <c:overlay val="0"/>
          <c:txPr>
            <a:bodyPr/>
            <a:lstStyle/>
            <a:p>
              <a:pPr>
                <a:defRPr sz="1800"/>
              </a:pPr>
              <a:endParaRPr lang="de-DE"/>
            </a:p>
          </c:txPr>
        </c:title>
        <c:numFmt formatCode="Standard" sourceLinked="1"/>
        <c:majorTickMark val="none"/>
        <c:minorTickMark val="none"/>
        <c:tickLblPos val="nextTo"/>
        <c:crossAx val="195530112"/>
        <c:crosses val="autoZero"/>
        <c:crossBetween val="midCat"/>
      </c:valAx>
      <c:valAx>
        <c:axId val="195530112"/>
        <c:scaling>
          <c:orientation val="minMax"/>
        </c:scaling>
        <c:delete val="0"/>
        <c:axPos val="l"/>
        <c:majorGridlines/>
        <c:title>
          <c:tx>
            <c:strRef>
              <c:f>'Risk LVG SRISK%'!$F$4</c:f>
              <c:strCache>
                <c:ptCount val="1"/>
                <c:pt idx="0">
                  <c:v>SRISK%</c:v>
                </c:pt>
              </c:strCache>
            </c:strRef>
          </c:tx>
          <c:layout>
            <c:manualLayout>
              <c:xMode val="edge"/>
              <c:yMode val="edge"/>
              <c:x val="1.6256350536937116E-2"/>
              <c:y val="0.43904815849204454"/>
            </c:manualLayout>
          </c:layout>
          <c:overlay val="0"/>
          <c:txPr>
            <a:bodyPr/>
            <a:lstStyle/>
            <a:p>
              <a:pPr>
                <a:defRPr sz="1800"/>
              </a:pPr>
              <a:endParaRPr lang="de-DE"/>
            </a:p>
          </c:txPr>
        </c:title>
        <c:numFmt formatCode="Standard" sourceLinked="1"/>
        <c:majorTickMark val="none"/>
        <c:minorTickMark val="none"/>
        <c:tickLblPos val="nextTo"/>
        <c:crossAx val="19552819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'Risk MES SRISK%'!$D$4</c:f>
          <c:strCache>
            <c:ptCount val="1"/>
            <c:pt idx="0">
              <c:v>Systemic Risk</c:v>
            </c:pt>
          </c:strCache>
        </c:strRef>
      </c:tx>
      <c:layout>
        <c:manualLayout>
          <c:xMode val="edge"/>
          <c:yMode val="edge"/>
          <c:x val="0.40805322116328374"/>
          <c:y val="8.1259561595067604E-3"/>
        </c:manualLayout>
      </c:layout>
      <c:overlay val="0"/>
      <c:txPr>
        <a:bodyPr/>
        <a:lstStyle/>
        <a:p>
          <a:pPr>
            <a:defRPr/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'Risk MES SRISK%'!$D$5</c:f>
              <c:strCache>
                <c:ptCount val="1"/>
                <c:pt idx="0">
                  <c:v>Deutsche Bank AG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MES SRISK%'!$N$5:$O$5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7.6</c:v>
                </c:pt>
              </c:numCache>
            </c:numRef>
          </c:xVal>
          <c:yVal>
            <c:numRef>
              <c:f>'Risk MES SRISK%'!$P$5:$Q$5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4.2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'Risk MES SRISK%'!$D$6</c:f>
              <c:strCache>
                <c:ptCount val="1"/>
                <c:pt idx="0">
                  <c:v>BNP Paribas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MES SRISK%'!$N$6:$O$6</c:f>
              <c:numCache>
                <c:formatCode>0.00</c:formatCode>
                <c:ptCount val="2"/>
                <c:pt idx="0">
                  <c:v>7.6</c:v>
                </c:pt>
                <c:pt idx="1">
                  <c:v>16.649999999999999</c:v>
                </c:pt>
              </c:numCache>
            </c:numRef>
          </c:xVal>
          <c:yVal>
            <c:numRef>
              <c:f>'Risk MES SRISK%'!$P$6:$Q$6</c:f>
              <c:numCache>
                <c:formatCode>0.00</c:formatCode>
                <c:ptCount val="2"/>
                <c:pt idx="0">
                  <c:v>4.2</c:v>
                </c:pt>
                <c:pt idx="1">
                  <c:v>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'Risk MES SRISK%'!$D$7</c:f>
              <c:strCache>
                <c:ptCount val="1"/>
                <c:pt idx="0">
                  <c:v>Barclays PLC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MES SRISK%'!$N$7:$O$7</c:f>
              <c:numCache>
                <c:formatCode>0.00</c:formatCode>
                <c:ptCount val="2"/>
                <c:pt idx="0">
                  <c:v>16.649999999999999</c:v>
                </c:pt>
                <c:pt idx="1">
                  <c:v>24.24</c:v>
                </c:pt>
              </c:numCache>
            </c:numRef>
          </c:xVal>
          <c:yVal>
            <c:numRef>
              <c:f>'Risk MES SRISK%'!$P$7:$Q$7</c:f>
              <c:numCache>
                <c:formatCode>0.00</c:formatCode>
                <c:ptCount val="2"/>
                <c:pt idx="0">
                  <c:v>8</c:v>
                </c:pt>
                <c:pt idx="1">
                  <c:v>11.2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'Risk MES SRISK%'!$D$8</c:f>
              <c:strCache>
                <c:ptCount val="1"/>
                <c:pt idx="0">
                  <c:v>Credit Agricole SA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MES SRISK%'!$N$8:$O$8</c:f>
              <c:numCache>
                <c:formatCode>0.00</c:formatCode>
                <c:ptCount val="2"/>
                <c:pt idx="0">
                  <c:v>24.24</c:v>
                </c:pt>
                <c:pt idx="1">
                  <c:v>32.369999999999997</c:v>
                </c:pt>
              </c:numCache>
            </c:numRef>
          </c:xVal>
          <c:yVal>
            <c:numRef>
              <c:f>'Risk MES SRISK%'!$P$8:$Q$8</c:f>
              <c:numCache>
                <c:formatCode>0.00</c:formatCode>
                <c:ptCount val="2"/>
                <c:pt idx="0">
                  <c:v>11.2</c:v>
                </c:pt>
                <c:pt idx="1">
                  <c:v>14.399999999999999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'Risk MES SRISK%'!$D$9</c:f>
              <c:strCache>
                <c:ptCount val="1"/>
                <c:pt idx="0">
                  <c:v>Mitsubishi UFJ Financial Group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MES SRISK%'!$N$9:$O$9</c:f>
              <c:numCache>
                <c:formatCode>0.00</c:formatCode>
                <c:ptCount val="2"/>
                <c:pt idx="0">
                  <c:v>32.369999999999997</c:v>
                </c:pt>
                <c:pt idx="1">
                  <c:v>34.5</c:v>
                </c:pt>
              </c:numCache>
            </c:numRef>
          </c:xVal>
          <c:yVal>
            <c:numRef>
              <c:f>'Risk MES SRISK%'!$P$9:$Q$9</c:f>
              <c:numCache>
                <c:formatCode>0.00</c:formatCode>
                <c:ptCount val="2"/>
                <c:pt idx="0">
                  <c:v>14.399999999999999</c:v>
                </c:pt>
                <c:pt idx="1">
                  <c:v>17.599999999999998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'Risk MES SRISK%'!$D$10</c:f>
              <c:strCache>
                <c:ptCount val="1"/>
                <c:pt idx="0">
                  <c:v>Royal Bank of Scotland Group PLC</c:v>
                </c:pt>
              </c:strCache>
            </c:strRef>
          </c:tx>
          <c:spPr>
            <a:ln>
              <a:prstDash val="solid"/>
              <a:tailEnd type="stealth" w="lg" len="med"/>
            </a:ln>
          </c:spPr>
          <c:marker>
            <c:symbol val="none"/>
          </c:marker>
          <c:xVal>
            <c:numRef>
              <c:f>'Risk MES SRISK%'!$N$10:$O$10</c:f>
              <c:numCache>
                <c:formatCode>0.00</c:formatCode>
                <c:ptCount val="2"/>
                <c:pt idx="0">
                  <c:v>34.5</c:v>
                </c:pt>
                <c:pt idx="1">
                  <c:v>42.26</c:v>
                </c:pt>
              </c:numCache>
            </c:numRef>
          </c:xVal>
          <c:yVal>
            <c:numRef>
              <c:f>'Risk MES SRISK%'!$P$10:$Q$10</c:f>
              <c:numCache>
                <c:formatCode>0.00</c:formatCode>
                <c:ptCount val="2"/>
                <c:pt idx="0">
                  <c:v>17.599999999999998</c:v>
                </c:pt>
                <c:pt idx="1">
                  <c:v>20.7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'Risk MES SRISK%'!$D$11</c:f>
              <c:strCache>
                <c:ptCount val="1"/>
                <c:pt idx="0">
                  <c:v>HSBC Holdings PLC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MES SRISK%'!$N$11:$O$11</c:f>
              <c:numCache>
                <c:formatCode>0.00</c:formatCode>
                <c:ptCount val="2"/>
                <c:pt idx="0">
                  <c:v>42.26</c:v>
                </c:pt>
                <c:pt idx="1">
                  <c:v>46.589999999999996</c:v>
                </c:pt>
              </c:numCache>
            </c:numRef>
          </c:xVal>
          <c:yVal>
            <c:numRef>
              <c:f>'Risk MES SRISK%'!$P$11:$Q$11</c:f>
              <c:numCache>
                <c:formatCode>0.00</c:formatCode>
                <c:ptCount val="2"/>
                <c:pt idx="0">
                  <c:v>20.7</c:v>
                </c:pt>
                <c:pt idx="1">
                  <c:v>23.4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'Risk MES SRISK%'!$D$12</c:f>
              <c:strCache>
                <c:ptCount val="1"/>
                <c:pt idx="0">
                  <c:v>Mizuho Financial Group Inc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MES SRISK%'!$N$12:$O$12</c:f>
              <c:numCache>
                <c:formatCode>0.00</c:formatCode>
                <c:ptCount val="2"/>
                <c:pt idx="0">
                  <c:v>46.589999999999996</c:v>
                </c:pt>
                <c:pt idx="1">
                  <c:v>48.769999999999996</c:v>
                </c:pt>
              </c:numCache>
            </c:numRef>
          </c:xVal>
          <c:yVal>
            <c:numRef>
              <c:f>'Risk MES SRISK%'!$P$12:$Q$12</c:f>
              <c:numCache>
                <c:formatCode>0.00</c:formatCode>
                <c:ptCount val="2"/>
                <c:pt idx="0">
                  <c:v>23.4</c:v>
                </c:pt>
                <c:pt idx="1">
                  <c:v>26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'Risk MES SRISK%'!$D$13</c:f>
              <c:strCache>
                <c:ptCount val="1"/>
                <c:pt idx="0">
                  <c:v>Bank Of America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MES SRISK%'!$N$13:$O$13</c:f>
              <c:numCache>
                <c:formatCode>0.00</c:formatCode>
                <c:ptCount val="2"/>
                <c:pt idx="0">
                  <c:v>48.769999999999996</c:v>
                </c:pt>
                <c:pt idx="1">
                  <c:v>54.209999999999994</c:v>
                </c:pt>
              </c:numCache>
            </c:numRef>
          </c:xVal>
          <c:yVal>
            <c:numRef>
              <c:f>'Risk MES SRISK%'!$P$13:$Q$13</c:f>
              <c:numCache>
                <c:formatCode>0.00</c:formatCode>
                <c:ptCount val="2"/>
                <c:pt idx="0">
                  <c:v>26</c:v>
                </c:pt>
                <c:pt idx="1">
                  <c:v>28.6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'Risk MES SRISK%'!$D$14</c:f>
              <c:strCache>
                <c:ptCount val="1"/>
                <c:pt idx="0">
                  <c:v>ING Groep NV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MES SRISK%'!$N$14:$O$14</c:f>
              <c:numCache>
                <c:formatCode>0.00</c:formatCode>
                <c:ptCount val="2"/>
                <c:pt idx="0">
                  <c:v>54.209999999999994</c:v>
                </c:pt>
                <c:pt idx="1">
                  <c:v>64.449999999999989</c:v>
                </c:pt>
              </c:numCache>
            </c:numRef>
          </c:xVal>
          <c:yVal>
            <c:numRef>
              <c:f>'Risk MES SRISK%'!$P$14:$Q$14</c:f>
              <c:numCache>
                <c:formatCode>0.00</c:formatCode>
                <c:ptCount val="2"/>
                <c:pt idx="0">
                  <c:v>28.6</c:v>
                </c:pt>
                <c:pt idx="1">
                  <c:v>31</c:v>
                </c:pt>
              </c:numCache>
            </c:numRef>
          </c:yVal>
          <c:smooth val="0"/>
        </c:ser>
        <c:ser>
          <c:idx val="12"/>
          <c:order val="10"/>
          <c:tx>
            <c:v>Summe A</c:v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('Risk MES SRISK%'!$N$5,'Risk MES SRISK%'!$O$16)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64.449999999999989</c:v>
                </c:pt>
              </c:numCache>
            </c:numRef>
          </c:xVal>
          <c:yVal>
            <c:numRef>
              <c:f>('Risk MES SRISK%'!$P$5,'Risk MES SRISK%'!$Q$16)</c:f>
              <c:numCache>
                <c:formatCode>0.00</c:formatCode>
                <c:ptCount val="2"/>
                <c:pt idx="0" formatCode="Standard">
                  <c:v>0</c:v>
                </c:pt>
                <c:pt idx="1">
                  <c:v>31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8465024"/>
        <c:axId val="198466944"/>
      </c:scatterChart>
      <c:valAx>
        <c:axId val="198465024"/>
        <c:scaling>
          <c:orientation val="minMax"/>
        </c:scaling>
        <c:delete val="0"/>
        <c:axPos val="b"/>
        <c:majorGridlines/>
        <c:title>
          <c:tx>
            <c:strRef>
              <c:f>'Risk MES SRISK%'!$E$4</c:f>
              <c:strCache>
                <c:ptCount val="1"/>
                <c:pt idx="0">
                  <c:v>MES</c:v>
                </c:pt>
              </c:strCache>
            </c:strRef>
          </c:tx>
          <c:layout>
            <c:manualLayout>
              <c:xMode val="edge"/>
              <c:yMode val="edge"/>
              <c:x val="0.75294161240219737"/>
              <c:y val="0.95044289158932327"/>
            </c:manualLayout>
          </c:layout>
          <c:overlay val="0"/>
          <c:txPr>
            <a:bodyPr/>
            <a:lstStyle/>
            <a:p>
              <a:pPr>
                <a:defRPr sz="1800"/>
              </a:pPr>
              <a:endParaRPr lang="de-DE"/>
            </a:p>
          </c:txPr>
        </c:title>
        <c:numFmt formatCode="Standard" sourceLinked="1"/>
        <c:majorTickMark val="none"/>
        <c:minorTickMark val="none"/>
        <c:tickLblPos val="nextTo"/>
        <c:crossAx val="198466944"/>
        <c:crosses val="autoZero"/>
        <c:crossBetween val="midCat"/>
      </c:valAx>
      <c:valAx>
        <c:axId val="198466944"/>
        <c:scaling>
          <c:orientation val="minMax"/>
        </c:scaling>
        <c:delete val="0"/>
        <c:axPos val="l"/>
        <c:majorGridlines/>
        <c:title>
          <c:tx>
            <c:strRef>
              <c:f>'Risk MES SRISK%'!$F$4</c:f>
              <c:strCache>
                <c:ptCount val="1"/>
                <c:pt idx="0">
                  <c:v>SRISK%</c:v>
                </c:pt>
              </c:strCache>
            </c:strRef>
          </c:tx>
          <c:overlay val="0"/>
          <c:txPr>
            <a:bodyPr/>
            <a:lstStyle/>
            <a:p>
              <a:pPr>
                <a:defRPr sz="1800"/>
              </a:pPr>
              <a:endParaRPr lang="de-DE"/>
            </a:p>
          </c:txPr>
        </c:title>
        <c:numFmt formatCode="Standard" sourceLinked="1"/>
        <c:majorTickMark val="none"/>
        <c:minorTickMark val="none"/>
        <c:tickLblPos val="nextTo"/>
        <c:crossAx val="19846502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C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'Risk MES LVG'!$D$4</c:f>
          <c:strCache>
            <c:ptCount val="1"/>
            <c:pt idx="0">
              <c:v>Systemic Risk</c:v>
            </c:pt>
          </c:strCache>
        </c:strRef>
      </c:tx>
      <c:layout>
        <c:manualLayout>
          <c:xMode val="edge"/>
          <c:yMode val="edge"/>
          <c:x val="0.40805322116328374"/>
          <c:y val="8.1259561595067604E-3"/>
        </c:manualLayout>
      </c:layout>
      <c:overlay val="0"/>
      <c:txPr>
        <a:bodyPr/>
        <a:lstStyle/>
        <a:p>
          <a:pPr>
            <a:defRPr/>
          </a:pPr>
          <a:endParaRPr lang="de-DE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'Risk MES LVG'!$D$5</c:f>
              <c:strCache>
                <c:ptCount val="1"/>
                <c:pt idx="0">
                  <c:v>Deutsche Bank AG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MES LVG'!$N$5:$O$5</c:f>
              <c:numCache>
                <c:formatCode>0.00</c:formatCode>
                <c:ptCount val="2"/>
                <c:pt idx="0">
                  <c:v>0</c:v>
                </c:pt>
                <c:pt idx="1">
                  <c:v>7.6</c:v>
                </c:pt>
              </c:numCache>
            </c:numRef>
          </c:xVal>
          <c:yVal>
            <c:numRef>
              <c:f>'Risk MES LVG'!$P$5:$Q$5</c:f>
              <c:numCache>
                <c:formatCode>0.00</c:formatCode>
                <c:ptCount val="2"/>
                <c:pt idx="0">
                  <c:v>0</c:v>
                </c:pt>
                <c:pt idx="1">
                  <c:v>100.54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'Risk MES LVG'!$D$6</c:f>
              <c:strCache>
                <c:ptCount val="1"/>
                <c:pt idx="0">
                  <c:v>BNP Paribas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MES LVG'!$N$6:$O$6</c:f>
              <c:numCache>
                <c:formatCode>0.00</c:formatCode>
                <c:ptCount val="2"/>
                <c:pt idx="0">
                  <c:v>7.6</c:v>
                </c:pt>
                <c:pt idx="1">
                  <c:v>16.649999999999999</c:v>
                </c:pt>
              </c:numCache>
            </c:numRef>
          </c:xVal>
          <c:yVal>
            <c:numRef>
              <c:f>'Risk MES LVG'!$P$6:$Q$6</c:f>
              <c:numCache>
                <c:formatCode>0.00</c:formatCode>
                <c:ptCount val="2"/>
                <c:pt idx="0">
                  <c:v>100.54</c:v>
                </c:pt>
                <c:pt idx="1">
                  <c:v>166.10000000000002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'Risk MES LVG'!$D$7</c:f>
              <c:strCache>
                <c:ptCount val="1"/>
                <c:pt idx="0">
                  <c:v>Barclays PLC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MES LVG'!$N$7:$O$7</c:f>
              <c:numCache>
                <c:formatCode>0.00</c:formatCode>
                <c:ptCount val="2"/>
                <c:pt idx="0">
                  <c:v>16.649999999999999</c:v>
                </c:pt>
                <c:pt idx="1">
                  <c:v>24.24</c:v>
                </c:pt>
              </c:numCache>
            </c:numRef>
          </c:xVal>
          <c:yVal>
            <c:numRef>
              <c:f>'Risk MES LVG'!$P$7:$Q$7</c:f>
              <c:numCache>
                <c:formatCode>0.00</c:formatCode>
                <c:ptCount val="2"/>
                <c:pt idx="0">
                  <c:v>166.10000000000002</c:v>
                </c:pt>
                <c:pt idx="1">
                  <c:v>245.57000000000002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'Risk MES LVG'!$D$8</c:f>
              <c:strCache>
                <c:ptCount val="1"/>
                <c:pt idx="0">
                  <c:v>Credit Agricole SA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MES LVG'!$N$8:$O$8</c:f>
              <c:numCache>
                <c:formatCode>0.00</c:formatCode>
                <c:ptCount val="2"/>
                <c:pt idx="0">
                  <c:v>24.24</c:v>
                </c:pt>
                <c:pt idx="1">
                  <c:v>32.369999999999997</c:v>
                </c:pt>
              </c:numCache>
            </c:numRef>
          </c:xVal>
          <c:yVal>
            <c:numRef>
              <c:f>'Risk MES LVG'!$P$8:$Q$8</c:f>
              <c:numCache>
                <c:formatCode>0.00</c:formatCode>
                <c:ptCount val="2"/>
                <c:pt idx="0">
                  <c:v>245.57000000000002</c:v>
                </c:pt>
                <c:pt idx="1">
                  <c:v>412.40000000000003</c:v>
                </c:pt>
              </c:numCache>
            </c:numRef>
          </c:yVal>
          <c:smooth val="0"/>
        </c:ser>
        <c:ser>
          <c:idx val="4"/>
          <c:order val="4"/>
          <c:tx>
            <c:strRef>
              <c:f>'Risk MES LVG'!$D$9</c:f>
              <c:strCache>
                <c:ptCount val="1"/>
                <c:pt idx="0">
                  <c:v>Mitsubishi UFJ Financial Group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MES LVG'!$N$9:$O$9</c:f>
              <c:numCache>
                <c:formatCode>0.00</c:formatCode>
                <c:ptCount val="2"/>
                <c:pt idx="0">
                  <c:v>32.369999999999997</c:v>
                </c:pt>
                <c:pt idx="1">
                  <c:v>34.5</c:v>
                </c:pt>
              </c:numCache>
            </c:numRef>
          </c:xVal>
          <c:yVal>
            <c:numRef>
              <c:f>'Risk MES LVG'!$P$9:$Q$9</c:f>
              <c:numCache>
                <c:formatCode>0.00</c:formatCode>
                <c:ptCount val="2"/>
                <c:pt idx="0">
                  <c:v>412.40000000000003</c:v>
                </c:pt>
                <c:pt idx="1">
                  <c:v>458.91</c:v>
                </c:pt>
              </c:numCache>
            </c:numRef>
          </c:yVal>
          <c:smooth val="0"/>
        </c:ser>
        <c:ser>
          <c:idx val="5"/>
          <c:order val="5"/>
          <c:tx>
            <c:strRef>
              <c:f>'Risk MES LVG'!$D$10</c:f>
              <c:strCache>
                <c:ptCount val="1"/>
                <c:pt idx="0">
                  <c:v>Royal Bank of Scotland Group PLC</c:v>
                </c:pt>
              </c:strCache>
            </c:strRef>
          </c:tx>
          <c:spPr>
            <a:ln>
              <a:prstDash val="solid"/>
              <a:tailEnd type="stealth" w="lg" len="med"/>
            </a:ln>
          </c:spPr>
          <c:marker>
            <c:symbol val="none"/>
          </c:marker>
          <c:xVal>
            <c:numRef>
              <c:f>'Risk MES LVG'!$N$10:$O$10</c:f>
              <c:numCache>
                <c:formatCode>0.00</c:formatCode>
                <c:ptCount val="2"/>
                <c:pt idx="0">
                  <c:v>34.5</c:v>
                </c:pt>
                <c:pt idx="1">
                  <c:v>42.26</c:v>
                </c:pt>
              </c:numCache>
            </c:numRef>
          </c:xVal>
          <c:yVal>
            <c:numRef>
              <c:f>'Risk MES LVG'!$P$10:$Q$10</c:f>
              <c:numCache>
                <c:formatCode>0.00</c:formatCode>
                <c:ptCount val="2"/>
                <c:pt idx="0">
                  <c:v>458.91</c:v>
                </c:pt>
                <c:pt idx="1">
                  <c:v>528.93000000000006</c:v>
                </c:pt>
              </c:numCache>
            </c:numRef>
          </c:yVal>
          <c:smooth val="0"/>
        </c:ser>
        <c:ser>
          <c:idx val="6"/>
          <c:order val="6"/>
          <c:tx>
            <c:strRef>
              <c:f>'Risk MES LVG'!$D$11</c:f>
              <c:strCache>
                <c:ptCount val="1"/>
                <c:pt idx="0">
                  <c:v>HSBC Holdings PLC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MES LVG'!$N$11:$O$11</c:f>
              <c:numCache>
                <c:formatCode>0.00</c:formatCode>
                <c:ptCount val="2"/>
                <c:pt idx="0">
                  <c:v>42.26</c:v>
                </c:pt>
                <c:pt idx="1">
                  <c:v>46.589999999999996</c:v>
                </c:pt>
              </c:numCache>
            </c:numRef>
          </c:xVal>
          <c:yVal>
            <c:numRef>
              <c:f>'Risk MES LVG'!$P$11:$Q$11</c:f>
              <c:numCache>
                <c:formatCode>0.00</c:formatCode>
                <c:ptCount val="2"/>
                <c:pt idx="0">
                  <c:v>528.93000000000006</c:v>
                </c:pt>
                <c:pt idx="1">
                  <c:v>549.5100000000001</c:v>
                </c:pt>
              </c:numCache>
            </c:numRef>
          </c:yVal>
          <c:smooth val="0"/>
        </c:ser>
        <c:ser>
          <c:idx val="7"/>
          <c:order val="7"/>
          <c:tx>
            <c:strRef>
              <c:f>'Risk MES LVG'!$D$12</c:f>
              <c:strCache>
                <c:ptCount val="1"/>
                <c:pt idx="0">
                  <c:v>Mizuho Financial Group Inc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MES LVG'!$N$12:$O$12</c:f>
              <c:numCache>
                <c:formatCode>0.00</c:formatCode>
                <c:ptCount val="2"/>
                <c:pt idx="0">
                  <c:v>46.589999999999996</c:v>
                </c:pt>
                <c:pt idx="1">
                  <c:v>48.769999999999996</c:v>
                </c:pt>
              </c:numCache>
            </c:numRef>
          </c:xVal>
          <c:yVal>
            <c:numRef>
              <c:f>'Risk MES LVG'!$P$12:$Q$12</c:f>
              <c:numCache>
                <c:formatCode>0.00</c:formatCode>
                <c:ptCount val="2"/>
                <c:pt idx="0">
                  <c:v>549.5100000000001</c:v>
                </c:pt>
                <c:pt idx="1">
                  <c:v>616.75000000000011</c:v>
                </c:pt>
              </c:numCache>
            </c:numRef>
          </c:yVal>
          <c:smooth val="0"/>
        </c:ser>
        <c:ser>
          <c:idx val="8"/>
          <c:order val="8"/>
          <c:tx>
            <c:strRef>
              <c:f>'Risk MES LVG'!$D$13</c:f>
              <c:strCache>
                <c:ptCount val="1"/>
                <c:pt idx="0">
                  <c:v>Bank Of America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MES LVG'!$N$13:$O$13</c:f>
              <c:numCache>
                <c:formatCode>0.00</c:formatCode>
                <c:ptCount val="2"/>
                <c:pt idx="0">
                  <c:v>48.769999999999996</c:v>
                </c:pt>
                <c:pt idx="1">
                  <c:v>54.209999999999994</c:v>
                </c:pt>
              </c:numCache>
            </c:numRef>
          </c:xVal>
          <c:yVal>
            <c:numRef>
              <c:f>'Risk MES LVG'!$P$13:$Q$13</c:f>
              <c:numCache>
                <c:formatCode>0.00</c:formatCode>
                <c:ptCount val="2"/>
                <c:pt idx="0">
                  <c:v>616.75000000000011</c:v>
                </c:pt>
                <c:pt idx="1">
                  <c:v>655.71000000000015</c:v>
                </c:pt>
              </c:numCache>
            </c:numRef>
          </c:yVal>
          <c:smooth val="0"/>
        </c:ser>
        <c:ser>
          <c:idx val="9"/>
          <c:order val="9"/>
          <c:tx>
            <c:strRef>
              <c:f>'Risk MES LVG'!$D$14</c:f>
              <c:strCache>
                <c:ptCount val="1"/>
                <c:pt idx="0">
                  <c:v>ING Groep NV</c:v>
                </c:pt>
              </c:strCache>
            </c:strRef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'Risk MES LVG'!$N$14:$O$14</c:f>
              <c:numCache>
                <c:formatCode>0.00</c:formatCode>
                <c:ptCount val="2"/>
                <c:pt idx="0">
                  <c:v>54.209999999999994</c:v>
                </c:pt>
                <c:pt idx="1">
                  <c:v>64.449999999999989</c:v>
                </c:pt>
              </c:numCache>
            </c:numRef>
          </c:xVal>
          <c:yVal>
            <c:numRef>
              <c:f>'Risk MES LVG'!$P$14:$Q$14</c:f>
              <c:numCache>
                <c:formatCode>0.00</c:formatCode>
                <c:ptCount val="2"/>
                <c:pt idx="0">
                  <c:v>655.71000000000015</c:v>
                </c:pt>
                <c:pt idx="1">
                  <c:v>725.29000000000019</c:v>
                </c:pt>
              </c:numCache>
            </c:numRef>
          </c:yVal>
          <c:smooth val="0"/>
        </c:ser>
        <c:ser>
          <c:idx val="12"/>
          <c:order val="10"/>
          <c:tx>
            <c:v>Summe A</c:v>
          </c:tx>
          <c:spPr>
            <a:ln>
              <a:tailEnd type="stealth" w="lg" len="med"/>
            </a:ln>
          </c:spPr>
          <c:marker>
            <c:symbol val="none"/>
          </c:marker>
          <c:xVal>
            <c:numRef>
              <c:f>('Risk MES LVG'!$N$5,'Risk MES LVG'!$O$16)</c:f>
              <c:numCache>
                <c:formatCode>0.00</c:formatCode>
                <c:ptCount val="2"/>
                <c:pt idx="0">
                  <c:v>0</c:v>
                </c:pt>
                <c:pt idx="1">
                  <c:v>64.449999999999989</c:v>
                </c:pt>
              </c:numCache>
            </c:numRef>
          </c:xVal>
          <c:yVal>
            <c:numRef>
              <c:f>('Risk MES LVG'!$P$5,'Risk MES LVG'!$Q$16)</c:f>
              <c:numCache>
                <c:formatCode>0.00</c:formatCode>
                <c:ptCount val="2"/>
                <c:pt idx="0">
                  <c:v>0</c:v>
                </c:pt>
                <c:pt idx="1">
                  <c:v>725.29000000000019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9177344"/>
        <c:axId val="199179264"/>
      </c:scatterChart>
      <c:valAx>
        <c:axId val="199177344"/>
        <c:scaling>
          <c:orientation val="minMax"/>
        </c:scaling>
        <c:delete val="0"/>
        <c:axPos val="b"/>
        <c:majorGridlines/>
        <c:title>
          <c:tx>
            <c:strRef>
              <c:f>'Risk MES LVG'!$E$4</c:f>
              <c:strCache>
                <c:ptCount val="1"/>
                <c:pt idx="0">
                  <c:v>MES</c:v>
                </c:pt>
              </c:strCache>
            </c:strRef>
          </c:tx>
          <c:layout>
            <c:manualLayout>
              <c:xMode val="edge"/>
              <c:yMode val="edge"/>
              <c:x val="0.75294161240219737"/>
              <c:y val="0.95044289158932327"/>
            </c:manualLayout>
          </c:layout>
          <c:overlay val="0"/>
          <c:txPr>
            <a:bodyPr/>
            <a:lstStyle/>
            <a:p>
              <a:pPr>
                <a:defRPr sz="1800"/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crossAx val="199179264"/>
        <c:crosses val="autoZero"/>
        <c:crossBetween val="midCat"/>
      </c:valAx>
      <c:valAx>
        <c:axId val="199179264"/>
        <c:scaling>
          <c:orientation val="minMax"/>
        </c:scaling>
        <c:delete val="0"/>
        <c:axPos val="l"/>
        <c:majorGridlines/>
        <c:title>
          <c:tx>
            <c:strRef>
              <c:f>'Risk MES LVG'!$F$4</c:f>
              <c:strCache>
                <c:ptCount val="1"/>
                <c:pt idx="0">
                  <c:v>LVG</c:v>
                </c:pt>
              </c:strCache>
            </c:strRef>
          </c:tx>
          <c:overlay val="0"/>
          <c:txPr>
            <a:bodyPr/>
            <a:lstStyle/>
            <a:p>
              <a:pPr>
                <a:defRPr sz="1800"/>
              </a:pPr>
              <a:endParaRPr lang="de-DE"/>
            </a:p>
          </c:txPr>
        </c:title>
        <c:numFmt formatCode="0.00" sourceLinked="1"/>
        <c:majorTickMark val="none"/>
        <c:minorTickMark val="none"/>
        <c:tickLblPos val="nextTo"/>
        <c:crossAx val="19917734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695325</xdr:colOff>
      <xdr:row>1</xdr:row>
      <xdr:rowOff>76200</xdr:rowOff>
    </xdr:from>
    <xdr:to>
      <xdr:col>9</xdr:col>
      <xdr:colOff>446322</xdr:colOff>
      <xdr:row>28</xdr:row>
      <xdr:rowOff>8462</xdr:rowOff>
    </xdr:to>
    <xdr:graphicFrame macro="">
      <xdr:nvGraphicFramePr>
        <xdr:cNvPr id="2" name="Diagramm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200025</xdr:colOff>
      <xdr:row>0</xdr:row>
      <xdr:rowOff>171450</xdr:rowOff>
    </xdr:from>
    <xdr:to>
      <xdr:col>19</xdr:col>
      <xdr:colOff>69056</xdr:colOff>
      <xdr:row>28</xdr:row>
      <xdr:rowOff>3863</xdr:rowOff>
    </xdr:to>
    <xdr:graphicFrame macro="">
      <xdr:nvGraphicFramePr>
        <xdr:cNvPr id="3" name="Diagramm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657225</xdr:colOff>
      <xdr:row>29</xdr:row>
      <xdr:rowOff>85724</xdr:rowOff>
    </xdr:from>
    <xdr:to>
      <xdr:col>9</xdr:col>
      <xdr:colOff>371016</xdr:colOff>
      <xdr:row>55</xdr:row>
      <xdr:rowOff>179911</xdr:rowOff>
    </xdr:to>
    <xdr:graphicFrame macro="">
      <xdr:nvGraphicFramePr>
        <xdr:cNvPr id="4" name="Diagramm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231321</xdr:colOff>
      <xdr:row>31</xdr:row>
      <xdr:rowOff>40821</xdr:rowOff>
    </xdr:from>
    <xdr:to>
      <xdr:col>21</xdr:col>
      <xdr:colOff>136071</xdr:colOff>
      <xdr:row>55</xdr:row>
      <xdr:rowOff>13607</xdr:rowOff>
    </xdr:to>
    <xdr:sp macro="" textlink="">
      <xdr:nvSpPr>
        <xdr:cNvPr id="6" name="Textfeld 5"/>
        <xdr:cNvSpPr txBox="1"/>
      </xdr:nvSpPr>
      <xdr:spPr>
        <a:xfrm>
          <a:off x="7851321" y="5946321"/>
          <a:ext cx="8286750" cy="45447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CH" sz="1100"/>
        </a:p>
        <a:p>
          <a:endParaRPr lang="de-CH" sz="1100"/>
        </a:p>
      </xdr:txBody>
    </xdr:sp>
    <xdr:clientData/>
  </xdr:twoCellAnchor>
  <xdr:twoCellAnchor editAs="oneCell">
    <xdr:from>
      <xdr:col>11</xdr:col>
      <xdr:colOff>367392</xdr:colOff>
      <xdr:row>32</xdr:row>
      <xdr:rowOff>54428</xdr:rowOff>
    </xdr:from>
    <xdr:to>
      <xdr:col>17</xdr:col>
      <xdr:colOff>347773</xdr:colOff>
      <xdr:row>45</xdr:row>
      <xdr:rowOff>120785</xdr:rowOff>
    </xdr:to>
    <xdr:pic>
      <xdr:nvPicPr>
        <xdr:cNvPr id="7" name="Grafik 6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749392" y="6150428"/>
          <a:ext cx="4552381" cy="2542857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0.01876</cdr:x>
      <cdr:y>0.93987</cdr:y>
    </cdr:from>
    <cdr:to>
      <cdr:x>0.68798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9699" y="4896908"/>
          <a:ext cx="4984751" cy="3132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CH" sz="800"/>
            <a:t>(C) 2011</a:t>
          </a:r>
          <a:r>
            <a:rPr lang="de-CH" sz="800" baseline="0"/>
            <a:t> </a:t>
          </a:r>
          <a:r>
            <a:rPr lang="de-CH" sz="800"/>
            <a:t>peter.bretscher@bengin.com</a:t>
          </a:r>
          <a:br>
            <a:rPr lang="de-CH" sz="800"/>
          </a:br>
          <a:r>
            <a:rPr lang="de-CH" sz="800"/>
            <a:t>Graphics are part of Business Engineering Systems, registered copyright TXu 512 154, LNo 4100001</a:t>
          </a:r>
        </a:p>
      </cdr:txBody>
    </cdr:sp>
  </cdr:relSizeAnchor>
  <cdr:relSizeAnchor xmlns:cdr="http://schemas.openxmlformats.org/drawingml/2006/chartDrawing">
    <cdr:from>
      <cdr:x>0.00539</cdr:x>
      <cdr:y>0.00651</cdr:y>
    </cdr:from>
    <cdr:to>
      <cdr:x>0.00539</cdr:x>
      <cdr:y>0.00651</cdr:y>
    </cdr:to>
    <cdr:sp macro="" textlink="">
      <cdr:nvSpPr>
        <cdr:cNvPr id="3" name="DVCHARTID" hidden="1"/>
        <cdr:cNvSpPr txBox="1"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rtlCol="0" anchor="ctr"/>
        <a:lstStyle xmlns:a="http://schemas.openxmlformats.org/drawingml/2006/main"/>
        <a:p xmlns:a="http://schemas.openxmlformats.org/drawingml/2006/main">
          <a:pPr algn="r"/>
          <a:r>
            <a:rPr lang="de-CH" sz="1100"/>
            <a:t>yPq6fEICDkZ6Th3u30bs9l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0.01588</cdr:x>
      <cdr:y>0.91735</cdr:y>
    </cdr:from>
    <cdr:to>
      <cdr:x>0.6851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04935" y="4656256"/>
          <a:ext cx="4422873" cy="4195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CH" sz="800"/>
            <a:t>(C) 2011</a:t>
          </a:r>
          <a:r>
            <a:rPr lang="de-CH" sz="800" baseline="0"/>
            <a:t> </a:t>
          </a:r>
          <a:r>
            <a:rPr lang="de-CH" sz="800"/>
            <a:t>peter.bretscher@bengin.com</a:t>
          </a:r>
          <a:br>
            <a:rPr lang="de-CH" sz="800"/>
          </a:br>
          <a:r>
            <a:rPr lang="de-CH" sz="800"/>
            <a:t>Graphics are part of Business Engineering Systems, registered copyright TXu 512 154, LNo 4100001</a:t>
          </a:r>
        </a:p>
      </cdr:txBody>
    </cdr:sp>
  </cdr:relSizeAnchor>
  <cdr:relSizeAnchor xmlns:cdr="http://schemas.openxmlformats.org/drawingml/2006/chartDrawing">
    <cdr:from>
      <cdr:x>0.00769</cdr:x>
      <cdr:y>0.01001</cdr:y>
    </cdr:from>
    <cdr:to>
      <cdr:x>0.00769</cdr:x>
      <cdr:y>0.01001</cdr:y>
    </cdr:to>
    <cdr:sp macro="" textlink="">
      <cdr:nvSpPr>
        <cdr:cNvPr id="3" name="DVCHARTID" hidden="1"/>
        <cdr:cNvSpPr txBox="1"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rtlCol="0" anchor="ctr"/>
        <a:lstStyle xmlns:a="http://schemas.openxmlformats.org/drawingml/2006/main"/>
        <a:p xmlns:a="http://schemas.openxmlformats.org/drawingml/2006/main">
          <a:pPr algn="r"/>
          <a:r>
            <a:rPr lang="de-CH" sz="1100"/>
            <a:t>mSvF15NbYiJ5dD2HhQC2xc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0.01734</cdr:x>
      <cdr:y>0.91406</cdr:y>
    </cdr:from>
    <cdr:to>
      <cdr:x>0.68656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16674" y="4722406"/>
          <a:ext cx="4501864" cy="44400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CH" sz="800"/>
            <a:t>(C) 2011</a:t>
          </a:r>
          <a:r>
            <a:rPr lang="de-CH" sz="800" baseline="0"/>
            <a:t> </a:t>
          </a:r>
          <a:r>
            <a:rPr lang="de-CH" sz="800"/>
            <a:t>peter.bretscher@bengin.com</a:t>
          </a:r>
          <a:br>
            <a:rPr lang="de-CH" sz="800"/>
          </a:br>
          <a:r>
            <a:rPr lang="de-CH" sz="800"/>
            <a:t>Graphics are part of Business Engineering Systems, registered copyright TXu 512 154, LNo 4100001</a:t>
          </a:r>
        </a:p>
      </cdr:txBody>
    </cdr:sp>
  </cdr:relSizeAnchor>
  <cdr:relSizeAnchor xmlns:cdr="http://schemas.openxmlformats.org/drawingml/2006/chartDrawing">
    <cdr:from>
      <cdr:x>0.00755</cdr:x>
      <cdr:y>0.00983</cdr:y>
    </cdr:from>
    <cdr:to>
      <cdr:x>0.00755</cdr:x>
      <cdr:y>0.00983</cdr:y>
    </cdr:to>
    <cdr:sp macro="" textlink="">
      <cdr:nvSpPr>
        <cdr:cNvPr id="3" name="DVCHARTID" hidden="1"/>
        <cdr:cNvSpPr txBox="1"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rtlCol="0" anchor="ctr"/>
        <a:lstStyle xmlns:a="http://schemas.openxmlformats.org/drawingml/2006/main"/>
        <a:p xmlns:a="http://schemas.openxmlformats.org/drawingml/2006/main">
          <a:pPr algn="r"/>
          <a:r>
            <a:rPr lang="de-CH" sz="1100"/>
            <a:t>OUqDuWnDNMj1g1pJ71JBAA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0.01876</cdr:x>
      <cdr:y>0.93987</cdr:y>
    </cdr:from>
    <cdr:to>
      <cdr:x>0.68798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9699" y="4896908"/>
          <a:ext cx="4984751" cy="3132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CH" sz="800"/>
            <a:t>(C) 2011</a:t>
          </a:r>
          <a:r>
            <a:rPr lang="de-CH" sz="800" baseline="0"/>
            <a:t> </a:t>
          </a:r>
          <a:r>
            <a:rPr lang="de-CH" sz="800"/>
            <a:t>peter.bretscher@bengin.com</a:t>
          </a:r>
          <a:br>
            <a:rPr lang="de-CH" sz="800"/>
          </a:br>
          <a:r>
            <a:rPr lang="de-CH" sz="800"/>
            <a:t>Graphics are part of Business Engineering Systems, registered copyright TXu 512 154, LNo 4100001</a:t>
          </a:r>
        </a:p>
      </cdr:txBody>
    </cdr:sp>
  </cdr:relSizeAnchor>
  <cdr:relSizeAnchor xmlns:cdr="http://schemas.openxmlformats.org/drawingml/2006/chartDrawing">
    <cdr:from>
      <cdr:x>0.00773</cdr:x>
      <cdr:y>0.01007</cdr:y>
    </cdr:from>
    <cdr:to>
      <cdr:x>0.00773</cdr:x>
      <cdr:y>0.01007</cdr:y>
    </cdr:to>
    <cdr:sp macro="" textlink="">
      <cdr:nvSpPr>
        <cdr:cNvPr id="3" name="DVCHARTID" hidden="1"/>
        <cdr:cNvSpPr txBox="1"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rtlCol="0" anchor="ctr"/>
        <a:lstStyle xmlns:a="http://schemas.openxmlformats.org/drawingml/2006/main"/>
        <a:p xmlns:a="http://schemas.openxmlformats.org/drawingml/2006/main">
          <a:pPr algn="r"/>
          <a:r>
            <a:rPr lang="de-CH" sz="1100"/>
            <a:t>KiuyMbWCNEI94BeoAROkvX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392909</xdr:colOff>
      <xdr:row>0</xdr:row>
      <xdr:rowOff>105836</xdr:rowOff>
    </xdr:from>
    <xdr:to>
      <xdr:col>20</xdr:col>
      <xdr:colOff>642940</xdr:colOff>
      <xdr:row>39</xdr:row>
      <xdr:rowOff>95248</xdr:rowOff>
    </xdr:to>
    <xdr:graphicFrame macro="">
      <xdr:nvGraphicFramePr>
        <xdr:cNvPr id="2" name="Diagramm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0.01876</cdr:x>
      <cdr:y>0.93987</cdr:y>
    </cdr:from>
    <cdr:to>
      <cdr:x>0.68798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9699" y="4896908"/>
          <a:ext cx="4984751" cy="3132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CH" sz="800"/>
            <a:t>(C) 2011</a:t>
          </a:r>
          <a:r>
            <a:rPr lang="de-CH" sz="800" baseline="0"/>
            <a:t> </a:t>
          </a:r>
          <a:r>
            <a:rPr lang="de-CH" sz="800"/>
            <a:t>peter.bretscher@bengin.com</a:t>
          </a:r>
          <a:br>
            <a:rPr lang="de-CH" sz="800"/>
          </a:br>
          <a:r>
            <a:rPr lang="de-CH" sz="800"/>
            <a:t>Graphics are part of Business Engineering Systems, registered copyright TXu 512 154, LNo 4100001</a:t>
          </a:r>
        </a:p>
      </cdr:txBody>
    </cdr:sp>
  </cdr:relSizeAnchor>
  <cdr:relSizeAnchor xmlns:cdr="http://schemas.openxmlformats.org/drawingml/2006/chartDrawing">
    <cdr:from>
      <cdr:x>0.005</cdr:x>
      <cdr:y>0.00651</cdr:y>
    </cdr:from>
    <cdr:to>
      <cdr:x>0.005</cdr:x>
      <cdr:y>0.00651</cdr:y>
    </cdr:to>
    <cdr:sp macro="" textlink="">
      <cdr:nvSpPr>
        <cdr:cNvPr id="3" name="DVCHARTID" hidden="1"/>
        <cdr:cNvSpPr txBox="1"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rtlCol="0" anchor="ctr"/>
        <a:lstStyle xmlns:a="http://schemas.openxmlformats.org/drawingml/2006/main"/>
        <a:p xmlns:a="http://schemas.openxmlformats.org/drawingml/2006/main">
          <a:pPr algn="r"/>
          <a:r>
            <a:rPr lang="de-CH" sz="1100"/>
            <a:t>Lcn0ixJBjWBea88W9bHbYE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71439</xdr:colOff>
      <xdr:row>1</xdr:row>
      <xdr:rowOff>10587</xdr:rowOff>
    </xdr:from>
    <xdr:to>
      <xdr:col>20</xdr:col>
      <xdr:colOff>321470</xdr:colOff>
      <xdr:row>39</xdr:row>
      <xdr:rowOff>190499</xdr:rowOff>
    </xdr:to>
    <xdr:graphicFrame macro="">
      <xdr:nvGraphicFramePr>
        <xdr:cNvPr id="3" name="Diagramm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0.01876</cdr:x>
      <cdr:y>0.93987</cdr:y>
    </cdr:from>
    <cdr:to>
      <cdr:x>0.68798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9699" y="4896908"/>
          <a:ext cx="4984751" cy="3132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CH" sz="800"/>
            <a:t>(C) 2011</a:t>
          </a:r>
          <a:r>
            <a:rPr lang="de-CH" sz="800" baseline="0"/>
            <a:t> </a:t>
          </a:r>
          <a:r>
            <a:rPr lang="de-CH" sz="800"/>
            <a:t>peter.bretscher@bengin.com</a:t>
          </a:r>
          <a:br>
            <a:rPr lang="de-CH" sz="800"/>
          </a:br>
          <a:r>
            <a:rPr lang="de-CH" sz="800"/>
            <a:t>Graphics are part of Business Engineering Systems, registered copyright TXu 512 154, LNo 4100001</a:t>
          </a:r>
        </a:p>
      </cdr:txBody>
    </cdr:sp>
  </cdr:relSizeAnchor>
  <cdr:relSizeAnchor xmlns:cdr="http://schemas.openxmlformats.org/drawingml/2006/chartDrawing">
    <cdr:from>
      <cdr:x>0.005</cdr:x>
      <cdr:y>0.00651</cdr:y>
    </cdr:from>
    <cdr:to>
      <cdr:x>0.005</cdr:x>
      <cdr:y>0.00651</cdr:y>
    </cdr:to>
    <cdr:sp macro="" textlink="">
      <cdr:nvSpPr>
        <cdr:cNvPr id="3" name="DVCHARTID" hidden="1"/>
        <cdr:cNvSpPr txBox="1"/>
      </cdr:nvSpPr>
      <cdr:spPr>
        <a:xfrm xmlns:a="http://schemas.openxmlformats.org/drawingml/2006/main">
          <a:off x="50800" y="50800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rtlCol="0" anchor="ctr"/>
        <a:lstStyle xmlns:a="http://schemas.openxmlformats.org/drawingml/2006/main"/>
        <a:p xmlns:a="http://schemas.openxmlformats.org/drawingml/2006/main">
          <a:pPr algn="r"/>
          <a:r>
            <a:rPr lang="de-CH" sz="1100"/>
            <a:t>j6XOuIqRMg4MxiaLToSblM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595313</xdr:colOff>
      <xdr:row>1</xdr:row>
      <xdr:rowOff>105838</xdr:rowOff>
    </xdr:from>
    <xdr:to>
      <xdr:col>20</xdr:col>
      <xdr:colOff>416719</xdr:colOff>
      <xdr:row>40</xdr:row>
      <xdr:rowOff>95250</xdr:rowOff>
    </xdr:to>
    <xdr:graphicFrame macro="">
      <xdr:nvGraphicFramePr>
        <xdr:cNvPr id="2" name="Diagramm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ExterneDaten_1" connectionId="2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risk_1" connectionId="1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vlab.stern.nyu.edu/welcome/risk" TargetMode="External"/><Relationship Id="rId1" Type="http://schemas.openxmlformats.org/officeDocument/2006/relationships/hyperlink" Target="mailto:peter.bretscher@bengin.com" TargetMode="External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2.xml"/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U3:U17"/>
  <sheetViews>
    <sheetView tabSelected="1" zoomScale="70" zoomScaleNormal="70" workbookViewId="0">
      <selection activeCell="U17" sqref="U17"/>
    </sheetView>
  </sheetViews>
  <sheetFormatPr baseColWidth="10" defaultRowHeight="15" x14ac:dyDescent="0.25"/>
  <sheetData>
    <row r="3" spans="21:21" x14ac:dyDescent="0.25">
      <c r="U3" s="16" t="s">
        <v>15</v>
      </c>
    </row>
    <row r="4" spans="21:21" x14ac:dyDescent="0.25">
      <c r="U4" s="16" t="s">
        <v>16</v>
      </c>
    </row>
    <row r="5" spans="21:21" x14ac:dyDescent="0.25">
      <c r="U5" s="16" t="s">
        <v>17</v>
      </c>
    </row>
    <row r="6" spans="21:21" x14ac:dyDescent="0.25">
      <c r="U6" t="s">
        <v>18</v>
      </c>
    </row>
    <row r="7" spans="21:21" x14ac:dyDescent="0.25">
      <c r="U7" s="17" t="s">
        <v>19</v>
      </c>
    </row>
    <row r="9" spans="21:21" x14ac:dyDescent="0.25">
      <c r="U9" s="16" t="s">
        <v>20</v>
      </c>
    </row>
    <row r="10" spans="21:21" x14ac:dyDescent="0.25">
      <c r="U10" s="16" t="s">
        <v>21</v>
      </c>
    </row>
    <row r="11" spans="21:21" x14ac:dyDescent="0.25">
      <c r="U11" s="16" t="s">
        <v>22</v>
      </c>
    </row>
    <row r="12" spans="21:21" x14ac:dyDescent="0.25">
      <c r="U12" s="16" t="s">
        <v>23</v>
      </c>
    </row>
    <row r="13" spans="21:21" x14ac:dyDescent="0.25">
      <c r="U13" s="16" t="s">
        <v>24</v>
      </c>
    </row>
    <row r="16" spans="21:21" x14ac:dyDescent="0.25">
      <c r="U16" s="16" t="s">
        <v>26</v>
      </c>
    </row>
    <row r="17" spans="21:21" x14ac:dyDescent="0.25">
      <c r="U17" s="18" t="s">
        <v>25</v>
      </c>
    </row>
  </sheetData>
  <hyperlinks>
    <hyperlink ref="U7" r:id="rId1"/>
    <hyperlink ref="U17" r:id="rId2"/>
  </hyperlinks>
  <pageMargins left="0.7" right="0.7" top="0.78740157499999996" bottom="0.78740157499999996" header="0.3" footer="0.3"/>
  <pageSetup paperSize="9" scale="52" orientation="landscape" horizontalDpi="0" verticalDpi="0" r:id="rId3"/>
  <customProperties>
    <customPr name="DVSECTIONID" r:id="rId4"/>
  </customPropertie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workbookViewId="0">
      <selection activeCell="F21" sqref="F21"/>
    </sheetView>
  </sheetViews>
  <sheetFormatPr baseColWidth="10" defaultRowHeight="15" x14ac:dyDescent="0.25"/>
  <cols>
    <col min="1" max="1" width="30.7109375" bestFit="1" customWidth="1"/>
    <col min="2" max="2" width="7.42578125" bestFit="1" customWidth="1"/>
    <col min="3" max="3" width="6" bestFit="1" customWidth="1"/>
    <col min="4" max="4" width="7" bestFit="1" customWidth="1"/>
    <col min="8" max="8" width="30.7109375" customWidth="1"/>
    <col min="9" max="9" width="7.42578125" customWidth="1"/>
    <col min="10" max="10" width="6" customWidth="1"/>
    <col min="11" max="11" width="7" customWidth="1"/>
  </cols>
  <sheetData>
    <row r="1" spans="1:11" x14ac:dyDescent="0.25">
      <c r="A1" t="s">
        <v>28</v>
      </c>
      <c r="B1" t="s">
        <v>13</v>
      </c>
      <c r="C1" t="s">
        <v>10</v>
      </c>
      <c r="D1" t="s">
        <v>12</v>
      </c>
    </row>
    <row r="2" spans="1:11" x14ac:dyDescent="0.25">
      <c r="A2" t="s">
        <v>29</v>
      </c>
      <c r="B2">
        <v>4.2</v>
      </c>
      <c r="C2">
        <v>7.6</v>
      </c>
      <c r="D2">
        <v>100.54</v>
      </c>
    </row>
    <row r="3" spans="1:11" x14ac:dyDescent="0.25">
      <c r="A3" t="s">
        <v>30</v>
      </c>
      <c r="B3">
        <v>3.8</v>
      </c>
      <c r="C3">
        <v>9.0500000000000007</v>
      </c>
      <c r="D3">
        <v>65.56</v>
      </c>
    </row>
    <row r="4" spans="1:11" x14ac:dyDescent="0.25">
      <c r="A4" t="s">
        <v>31</v>
      </c>
      <c r="B4">
        <v>3.2</v>
      </c>
      <c r="C4">
        <v>7.59</v>
      </c>
      <c r="D4">
        <v>79.47</v>
      </c>
      <c r="H4" t="s">
        <v>28</v>
      </c>
      <c r="I4" t="s">
        <v>13</v>
      </c>
      <c r="J4" t="s">
        <v>10</v>
      </c>
      <c r="K4" t="s">
        <v>12</v>
      </c>
    </row>
    <row r="5" spans="1:11" x14ac:dyDescent="0.25">
      <c r="A5" t="s">
        <v>32</v>
      </c>
      <c r="B5">
        <v>3.2</v>
      </c>
      <c r="C5">
        <v>8.1300000000000008</v>
      </c>
      <c r="D5">
        <v>166.83</v>
      </c>
      <c r="H5" t="s">
        <v>29</v>
      </c>
      <c r="I5">
        <v>4.2</v>
      </c>
      <c r="J5">
        <v>7.6</v>
      </c>
      <c r="K5">
        <v>100.54</v>
      </c>
    </row>
    <row r="6" spans="1:11" x14ac:dyDescent="0.25">
      <c r="A6" t="s">
        <v>33</v>
      </c>
      <c r="B6">
        <v>3.2</v>
      </c>
      <c r="C6">
        <v>2.13</v>
      </c>
      <c r="D6">
        <v>46.51</v>
      </c>
      <c r="H6" t="s">
        <v>30</v>
      </c>
      <c r="I6">
        <v>3.8</v>
      </c>
      <c r="J6">
        <v>9.0500000000000007</v>
      </c>
      <c r="K6">
        <v>65.56</v>
      </c>
    </row>
    <row r="7" spans="1:11" x14ac:dyDescent="0.25">
      <c r="A7" t="s">
        <v>34</v>
      </c>
      <c r="B7">
        <v>3.1</v>
      </c>
      <c r="C7">
        <v>7.76</v>
      </c>
      <c r="D7">
        <v>70.02</v>
      </c>
      <c r="H7" t="s">
        <v>31</v>
      </c>
      <c r="I7">
        <v>3.2</v>
      </c>
      <c r="J7">
        <v>7.59</v>
      </c>
      <c r="K7">
        <v>79.47</v>
      </c>
    </row>
    <row r="8" spans="1:11" x14ac:dyDescent="0.25">
      <c r="A8" t="s">
        <v>35</v>
      </c>
      <c r="B8">
        <v>2.7</v>
      </c>
      <c r="C8">
        <v>4.33</v>
      </c>
      <c r="D8">
        <v>20.58</v>
      </c>
      <c r="H8" t="s">
        <v>32</v>
      </c>
      <c r="I8">
        <v>3.2</v>
      </c>
      <c r="J8">
        <v>8.1300000000000008</v>
      </c>
      <c r="K8">
        <v>166.83</v>
      </c>
    </row>
    <row r="9" spans="1:11" x14ac:dyDescent="0.25">
      <c r="A9" t="s">
        <v>36</v>
      </c>
      <c r="B9">
        <v>2.6</v>
      </c>
      <c r="C9">
        <v>2.1800000000000002</v>
      </c>
      <c r="D9">
        <v>67.239999999999995</v>
      </c>
      <c r="H9" t="s">
        <v>33</v>
      </c>
      <c r="I9">
        <v>3.2</v>
      </c>
      <c r="J9">
        <v>2.13</v>
      </c>
      <c r="K9">
        <v>46.51</v>
      </c>
    </row>
    <row r="10" spans="1:11" x14ac:dyDescent="0.25">
      <c r="A10" t="s">
        <v>9</v>
      </c>
      <c r="B10">
        <v>2.6</v>
      </c>
      <c r="C10">
        <v>5.44</v>
      </c>
      <c r="D10">
        <v>38.96</v>
      </c>
      <c r="H10" t="s">
        <v>34</v>
      </c>
      <c r="I10">
        <v>3.1</v>
      </c>
      <c r="J10">
        <v>7.76</v>
      </c>
      <c r="K10">
        <v>70.02</v>
      </c>
    </row>
    <row r="11" spans="1:11" x14ac:dyDescent="0.25">
      <c r="A11" t="s">
        <v>37</v>
      </c>
      <c r="B11">
        <v>2.4</v>
      </c>
      <c r="C11">
        <v>10.24</v>
      </c>
      <c r="D11">
        <v>69.58</v>
      </c>
      <c r="H11" t="s">
        <v>35</v>
      </c>
      <c r="I11">
        <v>2.7</v>
      </c>
      <c r="J11">
        <v>4.33</v>
      </c>
      <c r="K11">
        <v>20.58</v>
      </c>
    </row>
    <row r="12" spans="1:11" x14ac:dyDescent="0.25">
      <c r="H12" t="s">
        <v>36</v>
      </c>
      <c r="I12">
        <v>2.6</v>
      </c>
      <c r="J12">
        <v>2.1800000000000002</v>
      </c>
      <c r="K12">
        <v>67.239999999999995</v>
      </c>
    </row>
    <row r="13" spans="1:11" x14ac:dyDescent="0.25">
      <c r="H13" t="s">
        <v>9</v>
      </c>
      <c r="I13">
        <v>2.6</v>
      </c>
      <c r="J13">
        <v>5.44</v>
      </c>
      <c r="K13">
        <v>38.96</v>
      </c>
    </row>
    <row r="14" spans="1:11" x14ac:dyDescent="0.25">
      <c r="H14" t="s">
        <v>37</v>
      </c>
      <c r="I14">
        <v>2.4</v>
      </c>
      <c r="J14">
        <v>10.24</v>
      </c>
      <c r="K14">
        <v>69.58</v>
      </c>
    </row>
  </sheetData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B2:W33"/>
  <sheetViews>
    <sheetView zoomScale="80" zoomScaleNormal="80" workbookViewId="0">
      <selection activeCell="E19" sqref="E19"/>
    </sheetView>
  </sheetViews>
  <sheetFormatPr baseColWidth="10" defaultRowHeight="15" x14ac:dyDescent="0.25"/>
  <cols>
    <col min="4" max="4" width="21" customWidth="1"/>
    <col min="5" max="6" width="16.7109375" customWidth="1"/>
    <col min="7" max="7" width="11.42578125" style="11"/>
  </cols>
  <sheetData>
    <row r="2" spans="2:23" x14ac:dyDescent="0.25">
      <c r="E2" s="8" t="s">
        <v>7</v>
      </c>
      <c r="F2" s="8" t="s">
        <v>8</v>
      </c>
      <c r="G2" s="10"/>
      <c r="H2" s="8"/>
    </row>
    <row r="3" spans="2:23" x14ac:dyDescent="0.25">
      <c r="E3">
        <v>2010</v>
      </c>
      <c r="F3">
        <v>2010</v>
      </c>
      <c r="L3">
        <v>2010</v>
      </c>
      <c r="M3">
        <v>2010</v>
      </c>
    </row>
    <row r="4" spans="2:23" x14ac:dyDescent="0.25">
      <c r="B4" s="2" t="s">
        <v>0</v>
      </c>
      <c r="C4" s="1"/>
      <c r="D4" s="1" t="s">
        <v>11</v>
      </c>
      <c r="E4" s="2" t="s">
        <v>12</v>
      </c>
      <c r="F4" s="2" t="s">
        <v>13</v>
      </c>
      <c r="G4" s="12"/>
      <c r="H4" s="2"/>
      <c r="I4" s="2"/>
      <c r="L4" s="8" t="s">
        <v>1</v>
      </c>
      <c r="M4" s="8" t="s">
        <v>2</v>
      </c>
      <c r="N4" s="8" t="s">
        <v>3</v>
      </c>
      <c r="O4" s="8" t="s">
        <v>5</v>
      </c>
      <c r="P4" s="8" t="s">
        <v>4</v>
      </c>
      <c r="Q4" s="8" t="s">
        <v>6</v>
      </c>
    </row>
    <row r="5" spans="2:23" x14ac:dyDescent="0.25">
      <c r="B5" s="1">
        <v>1</v>
      </c>
      <c r="C5" s="1"/>
      <c r="D5" t="str">
        <f>Tabelle1!A2</f>
        <v>Deutsche Bank AG</v>
      </c>
      <c r="E5">
        <f>Tabelle1!D2</f>
        <v>100.54</v>
      </c>
      <c r="F5">
        <f>Tabelle1!B2</f>
        <v>4.2</v>
      </c>
      <c r="H5" s="4"/>
      <c r="I5" s="3"/>
      <c r="L5" s="9">
        <f>E5</f>
        <v>100.54</v>
      </c>
      <c r="M5" s="9">
        <f>F5</f>
        <v>4.2</v>
      </c>
      <c r="N5">
        <v>0</v>
      </c>
      <c r="O5" s="4">
        <f t="shared" ref="O5:O16" si="0">N5+L5</f>
        <v>100.54</v>
      </c>
      <c r="P5">
        <v>0</v>
      </c>
      <c r="Q5" s="4">
        <f>P5+M5</f>
        <v>4.2</v>
      </c>
      <c r="R5" s="1" t="str">
        <f>D5</f>
        <v>Deutsche Bank AG</v>
      </c>
      <c r="U5" s="4"/>
      <c r="V5" s="4"/>
      <c r="W5" s="4"/>
    </row>
    <row r="6" spans="2:23" x14ac:dyDescent="0.25">
      <c r="B6" s="1">
        <v>2</v>
      </c>
      <c r="C6" s="1"/>
      <c r="D6" t="str">
        <f>Tabelle1!A3</f>
        <v>BNP Paribas</v>
      </c>
      <c r="E6">
        <f>Tabelle1!D3</f>
        <v>65.56</v>
      </c>
      <c r="F6">
        <f>Tabelle1!B3</f>
        <v>3.8</v>
      </c>
      <c r="H6" s="4"/>
      <c r="I6" s="3"/>
      <c r="L6" s="9">
        <f t="shared" ref="L6:M16" si="1">E6</f>
        <v>65.56</v>
      </c>
      <c r="M6" s="9">
        <f t="shared" si="1"/>
        <v>3.8</v>
      </c>
      <c r="N6" s="4">
        <f t="shared" ref="N6:N16" si="2">O5</f>
        <v>100.54</v>
      </c>
      <c r="O6" s="4">
        <f>N6+L6</f>
        <v>166.10000000000002</v>
      </c>
      <c r="P6" s="4">
        <f t="shared" ref="P6:P16" si="3">Q5</f>
        <v>4.2</v>
      </c>
      <c r="Q6" s="4">
        <f t="shared" ref="Q6:Q16" si="4">P6+M6</f>
        <v>8</v>
      </c>
      <c r="R6" s="1" t="str">
        <f t="shared" ref="R6:R16" si="5">D6</f>
        <v>BNP Paribas</v>
      </c>
      <c r="U6" s="4"/>
      <c r="V6" s="4"/>
      <c r="W6" s="4"/>
    </row>
    <row r="7" spans="2:23" x14ac:dyDescent="0.25">
      <c r="B7" s="1">
        <v>3</v>
      </c>
      <c r="C7" s="1"/>
      <c r="D7" t="str">
        <f>Tabelle1!A4</f>
        <v>Barclays PLC</v>
      </c>
      <c r="E7">
        <f>Tabelle1!D4</f>
        <v>79.47</v>
      </c>
      <c r="F7">
        <f>Tabelle1!B4</f>
        <v>3.2</v>
      </c>
      <c r="H7" s="6"/>
      <c r="I7" s="3"/>
      <c r="L7" s="9">
        <f t="shared" si="1"/>
        <v>79.47</v>
      </c>
      <c r="M7" s="9">
        <f t="shared" si="1"/>
        <v>3.2</v>
      </c>
      <c r="N7" s="4">
        <f t="shared" si="2"/>
        <v>166.10000000000002</v>
      </c>
      <c r="O7" s="4">
        <f t="shared" si="0"/>
        <v>245.57000000000002</v>
      </c>
      <c r="P7" s="4">
        <f t="shared" si="3"/>
        <v>8</v>
      </c>
      <c r="Q7" s="4">
        <f t="shared" si="4"/>
        <v>11.2</v>
      </c>
      <c r="R7" s="1" t="str">
        <f t="shared" si="5"/>
        <v>Barclays PLC</v>
      </c>
      <c r="U7" s="4"/>
      <c r="V7" s="4"/>
      <c r="W7" s="4"/>
    </row>
    <row r="8" spans="2:23" x14ac:dyDescent="0.25">
      <c r="B8" s="1">
        <v>4</v>
      </c>
      <c r="C8" s="1"/>
      <c r="D8" t="str">
        <f>Tabelle1!A5</f>
        <v>Credit Agricole SA</v>
      </c>
      <c r="E8">
        <f>Tabelle1!D5</f>
        <v>166.83</v>
      </c>
      <c r="F8">
        <f>Tabelle1!B5</f>
        <v>3.2</v>
      </c>
      <c r="H8" s="4"/>
      <c r="I8" s="3"/>
      <c r="L8" s="9">
        <f t="shared" si="1"/>
        <v>166.83</v>
      </c>
      <c r="M8" s="9">
        <f t="shared" si="1"/>
        <v>3.2</v>
      </c>
      <c r="N8" s="4">
        <f t="shared" si="2"/>
        <v>245.57000000000002</v>
      </c>
      <c r="O8" s="4">
        <f t="shared" si="0"/>
        <v>412.40000000000003</v>
      </c>
      <c r="P8" s="4">
        <f t="shared" si="3"/>
        <v>11.2</v>
      </c>
      <c r="Q8" s="4">
        <f t="shared" si="4"/>
        <v>14.399999999999999</v>
      </c>
      <c r="R8" s="1" t="str">
        <f t="shared" si="5"/>
        <v>Credit Agricole SA</v>
      </c>
      <c r="U8" s="4"/>
      <c r="V8" s="4"/>
      <c r="W8" s="4"/>
    </row>
    <row r="9" spans="2:23" x14ac:dyDescent="0.25">
      <c r="B9" s="1">
        <v>5</v>
      </c>
      <c r="C9" s="1"/>
      <c r="D9" t="str">
        <f>Tabelle1!A6</f>
        <v>Mitsubishi UFJ Financial Group</v>
      </c>
      <c r="E9">
        <f>Tabelle1!D6</f>
        <v>46.51</v>
      </c>
      <c r="F9">
        <f>Tabelle1!B6</f>
        <v>3.2</v>
      </c>
      <c r="H9" s="4"/>
      <c r="I9" s="3"/>
      <c r="L9" s="9">
        <f t="shared" si="1"/>
        <v>46.51</v>
      </c>
      <c r="M9" s="9">
        <f t="shared" si="1"/>
        <v>3.2</v>
      </c>
      <c r="N9" s="4">
        <f t="shared" si="2"/>
        <v>412.40000000000003</v>
      </c>
      <c r="O9" s="4">
        <f t="shared" si="0"/>
        <v>458.91</v>
      </c>
      <c r="P9" s="4">
        <f t="shared" si="3"/>
        <v>14.399999999999999</v>
      </c>
      <c r="Q9" s="4">
        <f t="shared" si="4"/>
        <v>17.599999999999998</v>
      </c>
      <c r="R9" s="1" t="str">
        <f t="shared" si="5"/>
        <v>Mitsubishi UFJ Financial Group</v>
      </c>
      <c r="U9" s="4"/>
      <c r="V9" s="4"/>
      <c r="W9" s="4"/>
    </row>
    <row r="10" spans="2:23" x14ac:dyDescent="0.25">
      <c r="B10" s="1">
        <v>6</v>
      </c>
      <c r="C10" s="1"/>
      <c r="D10" t="str">
        <f>Tabelle1!A7</f>
        <v>Royal Bank of Scotland Group PLC</v>
      </c>
      <c r="E10">
        <f>Tabelle1!D7</f>
        <v>70.02</v>
      </c>
      <c r="F10">
        <f>Tabelle1!B7</f>
        <v>3.1</v>
      </c>
      <c r="H10" s="4"/>
      <c r="I10" s="3"/>
      <c r="L10" s="9">
        <f t="shared" si="1"/>
        <v>70.02</v>
      </c>
      <c r="M10" s="9">
        <f t="shared" si="1"/>
        <v>3.1</v>
      </c>
      <c r="N10" s="4">
        <f t="shared" si="2"/>
        <v>458.91</v>
      </c>
      <c r="O10" s="4">
        <f t="shared" si="0"/>
        <v>528.93000000000006</v>
      </c>
      <c r="P10" s="4">
        <f t="shared" si="3"/>
        <v>17.599999999999998</v>
      </c>
      <c r="Q10" s="4">
        <f t="shared" si="4"/>
        <v>20.7</v>
      </c>
      <c r="R10" s="1" t="str">
        <f t="shared" si="5"/>
        <v>Royal Bank of Scotland Group PLC</v>
      </c>
      <c r="U10" s="4"/>
      <c r="V10" s="4"/>
      <c r="W10" s="4"/>
    </row>
    <row r="11" spans="2:23" x14ac:dyDescent="0.25">
      <c r="B11" s="1">
        <v>7</v>
      </c>
      <c r="C11" s="1"/>
      <c r="D11" t="str">
        <f>Tabelle1!A8</f>
        <v>HSBC Holdings PLC</v>
      </c>
      <c r="E11">
        <f>Tabelle1!D8</f>
        <v>20.58</v>
      </c>
      <c r="F11">
        <f>Tabelle1!B8</f>
        <v>2.7</v>
      </c>
      <c r="H11" s="4"/>
      <c r="I11" s="3"/>
      <c r="L11" s="9">
        <f t="shared" si="1"/>
        <v>20.58</v>
      </c>
      <c r="M11" s="9">
        <f t="shared" si="1"/>
        <v>2.7</v>
      </c>
      <c r="N11" s="4">
        <f t="shared" si="2"/>
        <v>528.93000000000006</v>
      </c>
      <c r="O11" s="4">
        <f t="shared" si="0"/>
        <v>549.5100000000001</v>
      </c>
      <c r="P11" s="4">
        <f t="shared" si="3"/>
        <v>20.7</v>
      </c>
      <c r="Q11" s="4">
        <f t="shared" si="4"/>
        <v>23.4</v>
      </c>
      <c r="R11" s="1" t="str">
        <f t="shared" si="5"/>
        <v>HSBC Holdings PLC</v>
      </c>
      <c r="U11" s="4"/>
      <c r="V11" s="4"/>
    </row>
    <row r="12" spans="2:23" x14ac:dyDescent="0.25">
      <c r="B12" s="1">
        <v>8</v>
      </c>
      <c r="C12" s="1"/>
      <c r="D12" t="str">
        <f>Tabelle1!A9</f>
        <v>Mizuho Financial Group Inc</v>
      </c>
      <c r="E12">
        <f>Tabelle1!D9</f>
        <v>67.239999999999995</v>
      </c>
      <c r="F12">
        <f>Tabelle1!B9</f>
        <v>2.6</v>
      </c>
      <c r="H12" s="4"/>
      <c r="I12" s="3"/>
      <c r="L12" s="9">
        <f t="shared" si="1"/>
        <v>67.239999999999995</v>
      </c>
      <c r="M12" s="9">
        <f t="shared" si="1"/>
        <v>2.6</v>
      </c>
      <c r="N12" s="4">
        <f t="shared" si="2"/>
        <v>549.5100000000001</v>
      </c>
      <c r="O12" s="4">
        <f t="shared" si="0"/>
        <v>616.75000000000011</v>
      </c>
      <c r="P12" s="4">
        <f t="shared" si="3"/>
        <v>23.4</v>
      </c>
      <c r="Q12" s="4">
        <f t="shared" si="4"/>
        <v>26</v>
      </c>
      <c r="R12" s="1" t="str">
        <f t="shared" si="5"/>
        <v>Mizuho Financial Group Inc</v>
      </c>
      <c r="U12" s="4"/>
      <c r="V12" s="4"/>
    </row>
    <row r="13" spans="2:23" x14ac:dyDescent="0.25">
      <c r="B13" s="1">
        <v>9</v>
      </c>
      <c r="C13" s="1"/>
      <c r="D13" t="str">
        <f>Tabelle1!A10</f>
        <v>Bank Of America</v>
      </c>
      <c r="E13">
        <f>Tabelle1!D10</f>
        <v>38.96</v>
      </c>
      <c r="F13">
        <f>Tabelle1!B10</f>
        <v>2.6</v>
      </c>
      <c r="H13" s="4"/>
      <c r="I13" s="3"/>
      <c r="L13" s="9">
        <f t="shared" si="1"/>
        <v>38.96</v>
      </c>
      <c r="M13" s="9">
        <f t="shared" si="1"/>
        <v>2.6</v>
      </c>
      <c r="N13" s="4">
        <f t="shared" si="2"/>
        <v>616.75000000000011</v>
      </c>
      <c r="O13" s="4">
        <f t="shared" si="0"/>
        <v>655.71000000000015</v>
      </c>
      <c r="P13" s="4">
        <f t="shared" si="3"/>
        <v>26</v>
      </c>
      <c r="Q13" s="4">
        <f t="shared" si="4"/>
        <v>28.6</v>
      </c>
      <c r="R13" s="1" t="str">
        <f t="shared" si="5"/>
        <v>Bank Of America</v>
      </c>
      <c r="U13" s="4"/>
      <c r="V13" s="4"/>
    </row>
    <row r="14" spans="2:23" x14ac:dyDescent="0.25">
      <c r="B14" s="1">
        <v>10</v>
      </c>
      <c r="C14" s="1"/>
      <c r="D14" t="str">
        <f>Tabelle1!A11</f>
        <v>ING Groep NV</v>
      </c>
      <c r="E14">
        <f>Tabelle1!D11</f>
        <v>69.58</v>
      </c>
      <c r="F14">
        <f>Tabelle1!B11</f>
        <v>2.4</v>
      </c>
      <c r="H14" s="4"/>
      <c r="I14" s="3"/>
      <c r="L14" s="9">
        <f t="shared" si="1"/>
        <v>69.58</v>
      </c>
      <c r="M14" s="9">
        <f t="shared" si="1"/>
        <v>2.4</v>
      </c>
      <c r="N14" s="4">
        <f t="shared" si="2"/>
        <v>655.71000000000015</v>
      </c>
      <c r="O14" s="4">
        <f t="shared" si="0"/>
        <v>725.29000000000019</v>
      </c>
      <c r="P14" s="4">
        <f t="shared" si="3"/>
        <v>28.6</v>
      </c>
      <c r="Q14" s="4">
        <f t="shared" si="4"/>
        <v>31</v>
      </c>
      <c r="R14" s="1" t="str">
        <f t="shared" si="5"/>
        <v>ING Groep NV</v>
      </c>
      <c r="U14" s="4"/>
      <c r="V14" s="4"/>
    </row>
    <row r="15" spans="2:23" x14ac:dyDescent="0.25">
      <c r="B15" s="1"/>
      <c r="D15" s="13">
        <v>0</v>
      </c>
      <c r="E15" s="14">
        <v>0</v>
      </c>
      <c r="F15" s="14">
        <v>0</v>
      </c>
      <c r="H15" s="4"/>
      <c r="I15" s="3"/>
      <c r="L15" s="9">
        <f t="shared" si="1"/>
        <v>0</v>
      </c>
      <c r="M15" s="9">
        <f t="shared" si="1"/>
        <v>0</v>
      </c>
      <c r="N15" s="4">
        <f t="shared" si="2"/>
        <v>725.29000000000019</v>
      </c>
      <c r="O15" s="4">
        <f t="shared" si="0"/>
        <v>725.29000000000019</v>
      </c>
      <c r="P15" s="4">
        <f t="shared" si="3"/>
        <v>31</v>
      </c>
      <c r="Q15" s="4">
        <f t="shared" si="4"/>
        <v>31</v>
      </c>
      <c r="R15" s="1">
        <f t="shared" si="5"/>
        <v>0</v>
      </c>
      <c r="U15" s="4"/>
      <c r="V15" s="4"/>
    </row>
    <row r="16" spans="2:23" x14ac:dyDescent="0.25">
      <c r="B16" s="1"/>
      <c r="D16" s="13">
        <v>0</v>
      </c>
      <c r="E16" s="14">
        <v>0</v>
      </c>
      <c r="F16" s="14">
        <v>0</v>
      </c>
      <c r="H16" s="6"/>
      <c r="I16" s="3"/>
      <c r="L16" s="9">
        <f t="shared" si="1"/>
        <v>0</v>
      </c>
      <c r="M16" s="9">
        <f t="shared" si="1"/>
        <v>0</v>
      </c>
      <c r="N16" s="4">
        <f t="shared" si="2"/>
        <v>725.29000000000019</v>
      </c>
      <c r="O16" s="4">
        <f t="shared" si="0"/>
        <v>725.29000000000019</v>
      </c>
      <c r="P16" s="4">
        <f t="shared" si="3"/>
        <v>31</v>
      </c>
      <c r="Q16" s="4">
        <f t="shared" si="4"/>
        <v>31</v>
      </c>
      <c r="R16" s="1">
        <f t="shared" si="5"/>
        <v>0</v>
      </c>
      <c r="U16" s="4"/>
      <c r="V16" s="4"/>
    </row>
    <row r="19" spans="2:23" x14ac:dyDescent="0.25">
      <c r="E19" s="8"/>
      <c r="F19" s="8"/>
    </row>
    <row r="20" spans="2:23" x14ac:dyDescent="0.25">
      <c r="E20" s="7"/>
    </row>
    <row r="21" spans="2:23" x14ac:dyDescent="0.25">
      <c r="B21" s="8"/>
      <c r="D21" s="1"/>
      <c r="E21" s="2"/>
      <c r="F21" s="5"/>
      <c r="G21" s="10"/>
      <c r="I21" s="2"/>
      <c r="L21" s="8"/>
      <c r="M21" s="8"/>
      <c r="N21" s="8"/>
      <c r="O21" s="8"/>
      <c r="P21" s="8"/>
      <c r="Q21" s="8"/>
    </row>
    <row r="22" spans="2:23" x14ac:dyDescent="0.25">
      <c r="D22" s="1"/>
      <c r="E22" s="4"/>
      <c r="F22" s="4"/>
      <c r="I22" s="4"/>
      <c r="L22" s="4"/>
      <c r="M22" s="4"/>
      <c r="O22" s="4"/>
      <c r="Q22" s="4"/>
      <c r="R22" s="1"/>
      <c r="W22" s="4"/>
    </row>
    <row r="23" spans="2:23" x14ac:dyDescent="0.25">
      <c r="D23" s="1"/>
      <c r="E23" s="4"/>
      <c r="F23" s="4"/>
      <c r="I23" s="4"/>
      <c r="L23" s="4"/>
      <c r="M23" s="4"/>
      <c r="N23" s="4"/>
      <c r="O23" s="4"/>
      <c r="P23" s="4"/>
      <c r="Q23" s="4"/>
      <c r="R23" s="1"/>
      <c r="V23" s="4"/>
      <c r="W23" s="4"/>
    </row>
    <row r="24" spans="2:23" x14ac:dyDescent="0.25">
      <c r="D24" s="1"/>
      <c r="E24" s="6"/>
      <c r="F24" s="6"/>
      <c r="I24" s="6"/>
      <c r="L24" s="4"/>
      <c r="M24" s="4"/>
      <c r="N24" s="4"/>
      <c r="O24" s="4"/>
      <c r="P24" s="4"/>
      <c r="Q24" s="4"/>
      <c r="R24" s="1"/>
      <c r="V24" s="4"/>
      <c r="W24" s="4"/>
    </row>
    <row r="25" spans="2:23" x14ac:dyDescent="0.25">
      <c r="D25" s="1"/>
      <c r="E25" s="4"/>
      <c r="F25" s="4"/>
      <c r="I25" s="4"/>
      <c r="L25" s="4"/>
      <c r="M25" s="4"/>
      <c r="N25" s="4"/>
      <c r="O25" s="4"/>
      <c r="P25" s="4"/>
      <c r="Q25" s="4"/>
      <c r="R25" s="1"/>
      <c r="V25" s="4"/>
      <c r="W25" s="4"/>
    </row>
    <row r="26" spans="2:23" x14ac:dyDescent="0.25">
      <c r="D26" s="1"/>
      <c r="E26" s="4"/>
      <c r="F26" s="4"/>
      <c r="I26" s="4"/>
      <c r="L26" s="4"/>
      <c r="M26" s="4"/>
      <c r="N26" s="4"/>
      <c r="O26" s="4"/>
      <c r="P26" s="4"/>
      <c r="Q26" s="4"/>
      <c r="R26" s="1"/>
      <c r="V26" s="4"/>
      <c r="W26" s="4"/>
    </row>
    <row r="27" spans="2:23" x14ac:dyDescent="0.25">
      <c r="D27" s="1"/>
      <c r="E27" s="4"/>
      <c r="F27" s="4"/>
      <c r="I27" s="4"/>
      <c r="L27" s="4"/>
      <c r="M27" s="4"/>
      <c r="N27" s="4"/>
      <c r="O27" s="4"/>
      <c r="P27" s="4"/>
      <c r="Q27" s="4"/>
      <c r="R27" s="1"/>
      <c r="V27" s="4"/>
      <c r="W27" s="4"/>
    </row>
    <row r="28" spans="2:23" x14ac:dyDescent="0.25">
      <c r="D28" s="1"/>
      <c r="E28" s="4"/>
      <c r="F28" s="4"/>
      <c r="I28" s="4"/>
      <c r="L28" s="4"/>
      <c r="M28" s="4"/>
      <c r="N28" s="4"/>
      <c r="O28" s="4"/>
      <c r="P28" s="4"/>
      <c r="Q28" s="4"/>
      <c r="R28" s="1"/>
    </row>
    <row r="29" spans="2:23" x14ac:dyDescent="0.25">
      <c r="D29" s="1"/>
      <c r="E29" s="4"/>
      <c r="F29" s="4"/>
      <c r="I29" s="4"/>
      <c r="L29" s="4"/>
      <c r="M29" s="4"/>
      <c r="N29" s="4"/>
      <c r="O29" s="4"/>
      <c r="P29" s="4"/>
      <c r="Q29" s="4"/>
      <c r="R29" s="1"/>
    </row>
    <row r="30" spans="2:23" x14ac:dyDescent="0.25">
      <c r="D30" s="1"/>
      <c r="E30" s="4"/>
      <c r="F30" s="4"/>
      <c r="I30" s="4"/>
      <c r="L30" s="4"/>
      <c r="M30" s="4"/>
      <c r="N30" s="4"/>
      <c r="O30" s="4"/>
      <c r="P30" s="4"/>
      <c r="Q30" s="4"/>
      <c r="R30" s="1"/>
    </row>
    <row r="31" spans="2:23" x14ac:dyDescent="0.25">
      <c r="D31" s="1"/>
      <c r="E31" s="4"/>
      <c r="F31" s="4"/>
      <c r="I31" s="4"/>
      <c r="L31" s="4"/>
      <c r="M31" s="4"/>
      <c r="N31" s="4"/>
      <c r="O31" s="4"/>
      <c r="P31" s="4"/>
      <c r="Q31" s="4"/>
      <c r="R31" s="1"/>
    </row>
    <row r="32" spans="2:23" x14ac:dyDescent="0.25">
      <c r="D32" s="1"/>
      <c r="E32" s="4"/>
      <c r="F32" s="4"/>
      <c r="I32" s="4"/>
      <c r="L32" s="4"/>
      <c r="M32" s="4"/>
      <c r="N32" s="4"/>
      <c r="O32" s="4"/>
      <c r="P32" s="4"/>
      <c r="Q32" s="4"/>
      <c r="R32" s="1"/>
    </row>
    <row r="33" spans="4:18" x14ac:dyDescent="0.25">
      <c r="D33" s="1"/>
      <c r="E33" s="6"/>
      <c r="F33" s="6"/>
      <c r="I33" s="6"/>
      <c r="L33" s="4"/>
      <c r="M33" s="4"/>
      <c r="N33" s="4"/>
      <c r="O33" s="4"/>
      <c r="P33" s="4"/>
      <c r="Q33" s="4"/>
      <c r="R33" s="1"/>
    </row>
  </sheetData>
  <pageMargins left="0.70866141732283472" right="0.70866141732283472" top="0.78740157480314965" bottom="0.78740157480314965" header="0.31496062992125984" footer="0.31496062992125984"/>
  <pageSetup paperSize="9" scale="48" orientation="landscape" horizontalDpi="0" verticalDpi="0" r:id="rId1"/>
  <headerFooter>
    <oddFooter>&amp;L&amp;F&amp;R&amp;A</oddFooter>
  </headerFooter>
  <customProperties>
    <customPr name="DVSECTIONID" r:id="rId2"/>
  </customProperties>
  <ignoredErrors>
    <ignoredError sqref="O6:O8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B2:W33"/>
  <sheetViews>
    <sheetView zoomScale="80" zoomScaleNormal="80" workbookViewId="0">
      <selection activeCell="D22" sqref="D21:D22"/>
    </sheetView>
  </sheetViews>
  <sheetFormatPr baseColWidth="10" defaultRowHeight="15" x14ac:dyDescent="0.25"/>
  <cols>
    <col min="4" max="4" width="21" customWidth="1"/>
    <col min="5" max="6" width="16.7109375" customWidth="1"/>
    <col min="7" max="7" width="11.42578125" style="11"/>
  </cols>
  <sheetData>
    <row r="2" spans="2:23" x14ac:dyDescent="0.25">
      <c r="E2" s="8" t="s">
        <v>7</v>
      </c>
      <c r="F2" s="8" t="s">
        <v>8</v>
      </c>
      <c r="G2" s="10"/>
      <c r="H2" s="8"/>
    </row>
    <row r="3" spans="2:23" x14ac:dyDescent="0.25">
      <c r="E3">
        <v>2010</v>
      </c>
      <c r="F3">
        <v>2010</v>
      </c>
      <c r="L3">
        <v>2010</v>
      </c>
      <c r="M3">
        <v>2010</v>
      </c>
    </row>
    <row r="4" spans="2:23" x14ac:dyDescent="0.25">
      <c r="B4" s="2" t="s">
        <v>0</v>
      </c>
      <c r="C4" s="1"/>
      <c r="D4" s="1" t="s">
        <v>11</v>
      </c>
      <c r="E4" s="2" t="s">
        <v>10</v>
      </c>
      <c r="F4" s="2" t="s">
        <v>13</v>
      </c>
      <c r="G4" s="12"/>
      <c r="H4" s="2"/>
      <c r="I4" s="2"/>
      <c r="L4" s="8" t="s">
        <v>1</v>
      </c>
      <c r="M4" s="8" t="s">
        <v>2</v>
      </c>
      <c r="N4" s="8" t="s">
        <v>3</v>
      </c>
      <c r="O4" s="8" t="s">
        <v>5</v>
      </c>
      <c r="P4" s="8" t="s">
        <v>4</v>
      </c>
      <c r="Q4" s="8" t="s">
        <v>6</v>
      </c>
    </row>
    <row r="5" spans="2:23" x14ac:dyDescent="0.25">
      <c r="B5" s="1">
        <v>1</v>
      </c>
      <c r="C5" s="1"/>
      <c r="D5" s="15" t="str">
        <f>Tabelle1!A2</f>
        <v>Deutsche Bank AG</v>
      </c>
      <c r="E5" s="15">
        <f>Tabelle1!C2</f>
        <v>7.6</v>
      </c>
      <c r="F5" s="15">
        <f>Tabelle1!B2</f>
        <v>4.2</v>
      </c>
      <c r="H5" s="4"/>
      <c r="I5" s="3"/>
      <c r="L5" s="9">
        <f>E5</f>
        <v>7.6</v>
      </c>
      <c r="M5" s="9">
        <f>F5</f>
        <v>4.2</v>
      </c>
      <c r="N5">
        <v>0</v>
      </c>
      <c r="O5" s="4">
        <f t="shared" ref="O5:O16" si="0">N5+L5</f>
        <v>7.6</v>
      </c>
      <c r="P5">
        <v>0</v>
      </c>
      <c r="Q5" s="4">
        <f>P5+M5</f>
        <v>4.2</v>
      </c>
      <c r="R5" s="1" t="str">
        <f>D5</f>
        <v>Deutsche Bank AG</v>
      </c>
      <c r="U5" s="4"/>
      <c r="V5" s="4"/>
      <c r="W5" s="4"/>
    </row>
    <row r="6" spans="2:23" x14ac:dyDescent="0.25">
      <c r="B6" s="1">
        <v>2</v>
      </c>
      <c r="C6" s="1"/>
      <c r="D6" s="15" t="str">
        <f>Tabelle1!A3</f>
        <v>BNP Paribas</v>
      </c>
      <c r="E6" s="15">
        <f>Tabelle1!C3</f>
        <v>9.0500000000000007</v>
      </c>
      <c r="F6" s="15">
        <f>Tabelle1!B3</f>
        <v>3.8</v>
      </c>
      <c r="H6" s="4"/>
      <c r="I6" s="3"/>
      <c r="L6" s="9">
        <f t="shared" ref="L6:M16" si="1">E6</f>
        <v>9.0500000000000007</v>
      </c>
      <c r="M6" s="9">
        <f t="shared" si="1"/>
        <v>3.8</v>
      </c>
      <c r="N6" s="4">
        <f t="shared" ref="N6:N16" si="2">O5</f>
        <v>7.6</v>
      </c>
      <c r="O6" s="4">
        <f t="shared" si="0"/>
        <v>16.649999999999999</v>
      </c>
      <c r="P6" s="4">
        <f t="shared" ref="P6:P16" si="3">Q5</f>
        <v>4.2</v>
      </c>
      <c r="Q6" s="4">
        <f t="shared" ref="Q6:Q16" si="4">P6+M6</f>
        <v>8</v>
      </c>
      <c r="R6" s="1" t="str">
        <f t="shared" ref="R6:R16" si="5">D6</f>
        <v>BNP Paribas</v>
      </c>
      <c r="U6" s="4"/>
      <c r="V6" s="4"/>
      <c r="W6" s="4"/>
    </row>
    <row r="7" spans="2:23" x14ac:dyDescent="0.25">
      <c r="B7" s="1">
        <v>3</v>
      </c>
      <c r="C7" s="1"/>
      <c r="D7" s="15" t="str">
        <f>Tabelle1!A4</f>
        <v>Barclays PLC</v>
      </c>
      <c r="E7" s="15">
        <f>Tabelle1!C4</f>
        <v>7.59</v>
      </c>
      <c r="F7" s="15">
        <f>Tabelle1!B4</f>
        <v>3.2</v>
      </c>
      <c r="H7" s="6"/>
      <c r="I7" s="3"/>
      <c r="L7" s="9">
        <f t="shared" si="1"/>
        <v>7.59</v>
      </c>
      <c r="M7" s="9">
        <f t="shared" si="1"/>
        <v>3.2</v>
      </c>
      <c r="N7" s="4">
        <f t="shared" si="2"/>
        <v>16.649999999999999</v>
      </c>
      <c r="O7" s="4">
        <f t="shared" si="0"/>
        <v>24.24</v>
      </c>
      <c r="P7" s="4">
        <f t="shared" si="3"/>
        <v>8</v>
      </c>
      <c r="Q7" s="4">
        <f t="shared" si="4"/>
        <v>11.2</v>
      </c>
      <c r="R7" s="1" t="str">
        <f t="shared" si="5"/>
        <v>Barclays PLC</v>
      </c>
      <c r="U7" s="4"/>
      <c r="V7" s="4"/>
      <c r="W7" s="4"/>
    </row>
    <row r="8" spans="2:23" x14ac:dyDescent="0.25">
      <c r="B8" s="1">
        <v>4</v>
      </c>
      <c r="C8" s="1"/>
      <c r="D8" s="15" t="str">
        <f>Tabelle1!A5</f>
        <v>Credit Agricole SA</v>
      </c>
      <c r="E8" s="15">
        <f>Tabelle1!C5</f>
        <v>8.1300000000000008</v>
      </c>
      <c r="F8" s="15">
        <f>Tabelle1!B5</f>
        <v>3.2</v>
      </c>
      <c r="H8" s="4"/>
      <c r="I8" s="3"/>
      <c r="L8" s="9">
        <f t="shared" si="1"/>
        <v>8.1300000000000008</v>
      </c>
      <c r="M8" s="9">
        <f t="shared" si="1"/>
        <v>3.2</v>
      </c>
      <c r="N8" s="4">
        <f t="shared" si="2"/>
        <v>24.24</v>
      </c>
      <c r="O8" s="4">
        <f t="shared" si="0"/>
        <v>32.369999999999997</v>
      </c>
      <c r="P8" s="4">
        <f t="shared" si="3"/>
        <v>11.2</v>
      </c>
      <c r="Q8" s="4">
        <f t="shared" si="4"/>
        <v>14.399999999999999</v>
      </c>
      <c r="R8" s="1" t="str">
        <f t="shared" si="5"/>
        <v>Credit Agricole SA</v>
      </c>
      <c r="U8" s="4"/>
      <c r="V8" s="4"/>
      <c r="W8" s="4"/>
    </row>
    <row r="9" spans="2:23" x14ac:dyDescent="0.25">
      <c r="B9" s="1">
        <v>5</v>
      </c>
      <c r="C9" s="1"/>
      <c r="D9" s="15" t="str">
        <f>Tabelle1!A6</f>
        <v>Mitsubishi UFJ Financial Group</v>
      </c>
      <c r="E9" s="15">
        <f>Tabelle1!C6</f>
        <v>2.13</v>
      </c>
      <c r="F9" s="15">
        <f>Tabelle1!B6</f>
        <v>3.2</v>
      </c>
      <c r="H9" s="4"/>
      <c r="I9" s="3"/>
      <c r="L9" s="9">
        <f t="shared" si="1"/>
        <v>2.13</v>
      </c>
      <c r="M9" s="9">
        <f t="shared" si="1"/>
        <v>3.2</v>
      </c>
      <c r="N9" s="4">
        <f t="shared" si="2"/>
        <v>32.369999999999997</v>
      </c>
      <c r="O9" s="4">
        <f t="shared" si="0"/>
        <v>34.5</v>
      </c>
      <c r="P9" s="4">
        <f t="shared" si="3"/>
        <v>14.399999999999999</v>
      </c>
      <c r="Q9" s="4">
        <f t="shared" si="4"/>
        <v>17.599999999999998</v>
      </c>
      <c r="R9" s="1" t="str">
        <f t="shared" si="5"/>
        <v>Mitsubishi UFJ Financial Group</v>
      </c>
      <c r="U9" s="4"/>
      <c r="V9" s="4"/>
      <c r="W9" s="4"/>
    </row>
    <row r="10" spans="2:23" x14ac:dyDescent="0.25">
      <c r="B10" s="1">
        <v>6</v>
      </c>
      <c r="C10" s="1"/>
      <c r="D10" s="15" t="str">
        <f>Tabelle1!A7</f>
        <v>Royal Bank of Scotland Group PLC</v>
      </c>
      <c r="E10" s="15">
        <f>Tabelle1!C7</f>
        <v>7.76</v>
      </c>
      <c r="F10" s="15">
        <f>Tabelle1!B7</f>
        <v>3.1</v>
      </c>
      <c r="H10" s="4"/>
      <c r="I10" s="3"/>
      <c r="L10" s="9">
        <f t="shared" si="1"/>
        <v>7.76</v>
      </c>
      <c r="M10" s="9">
        <f t="shared" si="1"/>
        <v>3.1</v>
      </c>
      <c r="N10" s="4">
        <f t="shared" si="2"/>
        <v>34.5</v>
      </c>
      <c r="O10" s="4">
        <f t="shared" si="0"/>
        <v>42.26</v>
      </c>
      <c r="P10" s="4">
        <f t="shared" si="3"/>
        <v>17.599999999999998</v>
      </c>
      <c r="Q10" s="4">
        <f t="shared" si="4"/>
        <v>20.7</v>
      </c>
      <c r="R10" s="1" t="str">
        <f t="shared" si="5"/>
        <v>Royal Bank of Scotland Group PLC</v>
      </c>
      <c r="U10" s="4"/>
      <c r="V10" s="4"/>
      <c r="W10" s="4"/>
    </row>
    <row r="11" spans="2:23" x14ac:dyDescent="0.25">
      <c r="B11" s="1">
        <v>7</v>
      </c>
      <c r="C11" s="1"/>
      <c r="D11" s="15" t="str">
        <f>Tabelle1!A8</f>
        <v>HSBC Holdings PLC</v>
      </c>
      <c r="E11" s="15">
        <f>Tabelle1!C8</f>
        <v>4.33</v>
      </c>
      <c r="F11" s="15">
        <f>Tabelle1!B8</f>
        <v>2.7</v>
      </c>
      <c r="H11" s="4"/>
      <c r="I11" s="3"/>
      <c r="L11" s="9">
        <f t="shared" si="1"/>
        <v>4.33</v>
      </c>
      <c r="M11" s="9">
        <f t="shared" si="1"/>
        <v>2.7</v>
      </c>
      <c r="N11" s="4">
        <f t="shared" si="2"/>
        <v>42.26</v>
      </c>
      <c r="O11" s="4">
        <f t="shared" si="0"/>
        <v>46.589999999999996</v>
      </c>
      <c r="P11" s="4">
        <f t="shared" si="3"/>
        <v>20.7</v>
      </c>
      <c r="Q11" s="4">
        <f t="shared" si="4"/>
        <v>23.4</v>
      </c>
      <c r="R11" s="1" t="str">
        <f t="shared" si="5"/>
        <v>HSBC Holdings PLC</v>
      </c>
      <c r="U11" s="4"/>
      <c r="V11" s="4"/>
    </row>
    <row r="12" spans="2:23" x14ac:dyDescent="0.25">
      <c r="B12" s="1">
        <v>8</v>
      </c>
      <c r="C12" s="1"/>
      <c r="D12" s="15" t="str">
        <f>Tabelle1!A9</f>
        <v>Mizuho Financial Group Inc</v>
      </c>
      <c r="E12" s="15">
        <f>Tabelle1!C9</f>
        <v>2.1800000000000002</v>
      </c>
      <c r="F12" s="15">
        <f>Tabelle1!B9</f>
        <v>2.6</v>
      </c>
      <c r="H12" s="4"/>
      <c r="I12" s="3"/>
      <c r="L12" s="9">
        <f t="shared" si="1"/>
        <v>2.1800000000000002</v>
      </c>
      <c r="M12" s="9">
        <f t="shared" si="1"/>
        <v>2.6</v>
      </c>
      <c r="N12" s="4">
        <f t="shared" si="2"/>
        <v>46.589999999999996</v>
      </c>
      <c r="O12" s="4">
        <f t="shared" si="0"/>
        <v>48.769999999999996</v>
      </c>
      <c r="P12" s="4">
        <f t="shared" si="3"/>
        <v>23.4</v>
      </c>
      <c r="Q12" s="4">
        <f t="shared" si="4"/>
        <v>26</v>
      </c>
      <c r="R12" s="1" t="str">
        <f t="shared" si="5"/>
        <v>Mizuho Financial Group Inc</v>
      </c>
      <c r="U12" s="4"/>
      <c r="V12" s="4"/>
    </row>
    <row r="13" spans="2:23" x14ac:dyDescent="0.25">
      <c r="B13" s="1">
        <v>9</v>
      </c>
      <c r="C13" s="1"/>
      <c r="D13" s="15" t="str">
        <f>Tabelle1!A10</f>
        <v>Bank Of America</v>
      </c>
      <c r="E13" s="15">
        <f>Tabelle1!C10</f>
        <v>5.44</v>
      </c>
      <c r="F13" s="15">
        <f>Tabelle1!B10</f>
        <v>2.6</v>
      </c>
      <c r="H13" s="4"/>
      <c r="I13" s="3"/>
      <c r="L13" s="9">
        <f t="shared" si="1"/>
        <v>5.44</v>
      </c>
      <c r="M13" s="9">
        <f t="shared" si="1"/>
        <v>2.6</v>
      </c>
      <c r="N13" s="4">
        <f t="shared" si="2"/>
        <v>48.769999999999996</v>
      </c>
      <c r="O13" s="4">
        <f t="shared" si="0"/>
        <v>54.209999999999994</v>
      </c>
      <c r="P13" s="4">
        <f t="shared" si="3"/>
        <v>26</v>
      </c>
      <c r="Q13" s="4">
        <f t="shared" si="4"/>
        <v>28.6</v>
      </c>
      <c r="R13" s="1" t="str">
        <f t="shared" si="5"/>
        <v>Bank Of America</v>
      </c>
      <c r="U13" s="4"/>
      <c r="V13" s="4"/>
    </row>
    <row r="14" spans="2:23" x14ac:dyDescent="0.25">
      <c r="B14" s="1">
        <v>10</v>
      </c>
      <c r="C14" s="1"/>
      <c r="D14" s="15" t="str">
        <f>Tabelle1!A11</f>
        <v>ING Groep NV</v>
      </c>
      <c r="E14" s="15">
        <f>Tabelle1!C11</f>
        <v>10.24</v>
      </c>
      <c r="F14" s="15">
        <f>Tabelle1!B11</f>
        <v>2.4</v>
      </c>
      <c r="H14" s="4"/>
      <c r="I14" s="3"/>
      <c r="L14" s="9">
        <f t="shared" si="1"/>
        <v>10.24</v>
      </c>
      <c r="M14" s="9">
        <f t="shared" si="1"/>
        <v>2.4</v>
      </c>
      <c r="N14" s="4">
        <f t="shared" si="2"/>
        <v>54.209999999999994</v>
      </c>
      <c r="O14" s="4">
        <f t="shared" si="0"/>
        <v>64.449999999999989</v>
      </c>
      <c r="P14" s="4">
        <f t="shared" si="3"/>
        <v>28.6</v>
      </c>
      <c r="Q14" s="4">
        <f t="shared" si="4"/>
        <v>31</v>
      </c>
      <c r="R14" s="1" t="str">
        <f t="shared" si="5"/>
        <v>ING Groep NV</v>
      </c>
      <c r="U14" s="4"/>
      <c r="V14" s="4"/>
    </row>
    <row r="15" spans="2:23" x14ac:dyDescent="0.25">
      <c r="B15" s="1"/>
      <c r="D15" s="1">
        <v>0</v>
      </c>
      <c r="E15" s="3">
        <v>0</v>
      </c>
      <c r="F15" s="3">
        <v>0</v>
      </c>
      <c r="H15" s="4"/>
      <c r="I15" s="3"/>
      <c r="L15" s="9">
        <f t="shared" si="1"/>
        <v>0</v>
      </c>
      <c r="M15" s="9">
        <f t="shared" si="1"/>
        <v>0</v>
      </c>
      <c r="N15" s="4">
        <f t="shared" si="2"/>
        <v>64.449999999999989</v>
      </c>
      <c r="O15" s="4">
        <f t="shared" si="0"/>
        <v>64.449999999999989</v>
      </c>
      <c r="P15" s="4">
        <f t="shared" si="3"/>
        <v>31</v>
      </c>
      <c r="Q15" s="4">
        <f t="shared" si="4"/>
        <v>31</v>
      </c>
      <c r="R15" s="1">
        <f t="shared" si="5"/>
        <v>0</v>
      </c>
      <c r="U15" s="4"/>
      <c r="V15" s="4"/>
    </row>
    <row r="16" spans="2:23" x14ac:dyDescent="0.25">
      <c r="B16" s="1"/>
      <c r="D16" s="1">
        <v>0</v>
      </c>
      <c r="E16" s="3">
        <v>0</v>
      </c>
      <c r="F16" s="3">
        <v>0</v>
      </c>
      <c r="H16" s="6"/>
      <c r="I16" s="3"/>
      <c r="L16" s="9">
        <f t="shared" si="1"/>
        <v>0</v>
      </c>
      <c r="M16" s="9">
        <f t="shared" si="1"/>
        <v>0</v>
      </c>
      <c r="N16" s="4">
        <f t="shared" si="2"/>
        <v>64.449999999999989</v>
      </c>
      <c r="O16" s="4">
        <f t="shared" si="0"/>
        <v>64.449999999999989</v>
      </c>
      <c r="P16" s="4">
        <f t="shared" si="3"/>
        <v>31</v>
      </c>
      <c r="Q16" s="4">
        <f t="shared" si="4"/>
        <v>31</v>
      </c>
      <c r="R16" s="1">
        <f t="shared" si="5"/>
        <v>0</v>
      </c>
      <c r="U16" s="4"/>
      <c r="V16" s="4"/>
    </row>
    <row r="19" spans="2:23" x14ac:dyDescent="0.25">
      <c r="E19" s="8"/>
      <c r="F19" s="8"/>
    </row>
    <row r="20" spans="2:23" x14ac:dyDescent="0.25">
      <c r="E20" s="7"/>
    </row>
    <row r="21" spans="2:23" x14ac:dyDescent="0.25">
      <c r="B21" s="8"/>
      <c r="D21" s="1"/>
      <c r="E21" s="2"/>
      <c r="F21" s="5"/>
      <c r="G21" s="10"/>
      <c r="I21" s="2"/>
      <c r="L21" s="8"/>
      <c r="M21" s="8"/>
      <c r="N21" s="8"/>
      <c r="O21" s="8"/>
      <c r="P21" s="8"/>
      <c r="Q21" s="8"/>
    </row>
    <row r="22" spans="2:23" x14ac:dyDescent="0.25">
      <c r="D22" s="1"/>
      <c r="E22" s="4"/>
      <c r="F22" s="4"/>
      <c r="I22" s="4"/>
      <c r="L22" s="4"/>
      <c r="M22" s="4"/>
      <c r="O22" s="4"/>
      <c r="Q22" s="4"/>
      <c r="R22" s="1"/>
      <c r="W22" s="4"/>
    </row>
    <row r="23" spans="2:23" x14ac:dyDescent="0.25">
      <c r="D23" s="1"/>
      <c r="E23" s="4"/>
      <c r="F23" s="4"/>
      <c r="I23" s="4"/>
      <c r="L23" s="4"/>
      <c r="M23" s="4"/>
      <c r="N23" s="4"/>
      <c r="O23" s="4"/>
      <c r="P23" s="4"/>
      <c r="Q23" s="4"/>
      <c r="R23" s="1"/>
      <c r="V23" s="4"/>
      <c r="W23" s="4"/>
    </row>
    <row r="24" spans="2:23" x14ac:dyDescent="0.25">
      <c r="D24" s="1"/>
      <c r="E24" s="6"/>
      <c r="F24" s="6"/>
      <c r="I24" s="6"/>
      <c r="L24" s="4"/>
      <c r="M24" s="4"/>
      <c r="N24" s="4"/>
      <c r="O24" s="4"/>
      <c r="P24" s="4"/>
      <c r="Q24" s="4"/>
      <c r="R24" s="1"/>
      <c r="V24" s="4"/>
      <c r="W24" s="4"/>
    </row>
    <row r="25" spans="2:23" x14ac:dyDescent="0.25">
      <c r="D25" s="1"/>
      <c r="E25" s="4"/>
      <c r="F25" s="4"/>
      <c r="I25" s="4"/>
      <c r="L25" s="4"/>
      <c r="M25" s="4"/>
      <c r="N25" s="4"/>
      <c r="O25" s="4"/>
      <c r="P25" s="4"/>
      <c r="Q25" s="4"/>
      <c r="R25" s="1"/>
      <c r="V25" s="4"/>
      <c r="W25" s="4"/>
    </row>
    <row r="26" spans="2:23" x14ac:dyDescent="0.25">
      <c r="D26" s="1"/>
      <c r="E26" s="4"/>
      <c r="F26" s="4"/>
      <c r="I26" s="4"/>
      <c r="L26" s="4"/>
      <c r="M26" s="4"/>
      <c r="N26" s="4"/>
      <c r="O26" s="4"/>
      <c r="P26" s="4"/>
      <c r="Q26" s="4"/>
      <c r="R26" s="1"/>
      <c r="V26" s="4"/>
      <c r="W26" s="4"/>
    </row>
    <row r="27" spans="2:23" x14ac:dyDescent="0.25">
      <c r="D27" s="1"/>
      <c r="E27" s="4"/>
      <c r="F27" s="4"/>
      <c r="I27" s="4"/>
      <c r="L27" s="4"/>
      <c r="M27" s="4"/>
      <c r="N27" s="4"/>
      <c r="O27" s="4"/>
      <c r="P27" s="4"/>
      <c r="Q27" s="4"/>
      <c r="R27" s="1"/>
      <c r="V27" s="4"/>
      <c r="W27" s="4"/>
    </row>
    <row r="28" spans="2:23" x14ac:dyDescent="0.25">
      <c r="D28" s="1"/>
      <c r="E28" s="4"/>
      <c r="F28" s="4"/>
      <c r="I28" s="4"/>
      <c r="L28" s="4"/>
      <c r="M28" s="4"/>
      <c r="N28" s="4"/>
      <c r="O28" s="4"/>
      <c r="P28" s="4"/>
      <c r="Q28" s="4"/>
      <c r="R28" s="1"/>
    </row>
    <row r="29" spans="2:23" x14ac:dyDescent="0.25">
      <c r="D29" s="1"/>
      <c r="E29" s="4"/>
      <c r="F29" s="4"/>
      <c r="I29" s="4"/>
      <c r="L29" s="4"/>
      <c r="M29" s="4"/>
      <c r="N29" s="4"/>
      <c r="O29" s="4"/>
      <c r="P29" s="4"/>
      <c r="Q29" s="4"/>
      <c r="R29" s="1"/>
    </row>
    <row r="30" spans="2:23" x14ac:dyDescent="0.25">
      <c r="D30" s="1"/>
      <c r="E30" s="4"/>
      <c r="F30" s="4"/>
      <c r="I30" s="4"/>
      <c r="L30" s="4"/>
      <c r="M30" s="4"/>
      <c r="N30" s="4"/>
      <c r="O30" s="4"/>
      <c r="P30" s="4"/>
      <c r="Q30" s="4"/>
      <c r="R30" s="1"/>
    </row>
    <row r="31" spans="2:23" x14ac:dyDescent="0.25">
      <c r="D31" s="1"/>
      <c r="E31" s="4"/>
      <c r="F31" s="4"/>
      <c r="I31" s="4"/>
      <c r="L31" s="4"/>
      <c r="M31" s="4"/>
      <c r="N31" s="4"/>
      <c r="O31" s="4"/>
      <c r="P31" s="4"/>
      <c r="Q31" s="4"/>
      <c r="R31" s="1"/>
    </row>
    <row r="32" spans="2:23" x14ac:dyDescent="0.25">
      <c r="D32" s="1"/>
      <c r="E32" s="4"/>
      <c r="F32" s="4"/>
      <c r="I32" s="4"/>
      <c r="L32" s="4"/>
      <c r="M32" s="4"/>
      <c r="N32" s="4"/>
      <c r="O32" s="4"/>
      <c r="P32" s="4"/>
      <c r="Q32" s="4"/>
      <c r="R32" s="1"/>
    </row>
    <row r="33" spans="4:18" x14ac:dyDescent="0.25">
      <c r="D33" s="1"/>
      <c r="E33" s="6"/>
      <c r="F33" s="6"/>
      <c r="I33" s="6"/>
      <c r="L33" s="4"/>
      <c r="M33" s="4"/>
      <c r="N33" s="4"/>
      <c r="O33" s="4"/>
      <c r="P33" s="4"/>
      <c r="Q33" s="4"/>
      <c r="R33" s="1"/>
    </row>
  </sheetData>
  <pageMargins left="0.70866141732283472" right="0.70866141732283472" top="0.78740157480314965" bottom="0.78740157480314965" header="0.31496062992125984" footer="0.31496062992125984"/>
  <pageSetup paperSize="9" scale="48" orientation="landscape" horizontalDpi="0" verticalDpi="0" r:id="rId1"/>
  <headerFooter>
    <oddFooter>&amp;L&amp;F&amp;R&amp;A</oddFooter>
  </headerFooter>
  <customProperties>
    <customPr name="DVSECTIONID" r:id="rId2"/>
  </customPropertie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pageSetUpPr fitToPage="1"/>
  </sheetPr>
  <dimension ref="B2:W33"/>
  <sheetViews>
    <sheetView zoomScale="80" zoomScaleNormal="80" workbookViewId="0">
      <selection activeCell="E21" sqref="E21"/>
    </sheetView>
  </sheetViews>
  <sheetFormatPr baseColWidth="10" defaultRowHeight="15" x14ac:dyDescent="0.25"/>
  <cols>
    <col min="1" max="1" width="5" customWidth="1"/>
    <col min="4" max="4" width="21" customWidth="1"/>
    <col min="5" max="6" width="16.7109375" customWidth="1"/>
    <col min="7" max="7" width="11.42578125" style="11"/>
    <col min="11" max="11" width="6.7109375" customWidth="1"/>
  </cols>
  <sheetData>
    <row r="2" spans="2:23" x14ac:dyDescent="0.25">
      <c r="E2" s="8" t="s">
        <v>7</v>
      </c>
      <c r="F2" s="8" t="s">
        <v>8</v>
      </c>
      <c r="G2" s="10"/>
      <c r="H2" s="8"/>
    </row>
    <row r="3" spans="2:23" x14ac:dyDescent="0.25">
      <c r="E3">
        <v>2010</v>
      </c>
      <c r="F3">
        <v>2010</v>
      </c>
      <c r="L3">
        <v>2010</v>
      </c>
      <c r="M3">
        <v>2010</v>
      </c>
    </row>
    <row r="4" spans="2:23" x14ac:dyDescent="0.25">
      <c r="B4" s="2" t="s">
        <v>0</v>
      </c>
      <c r="C4" s="1"/>
      <c r="D4" s="1" t="s">
        <v>11</v>
      </c>
      <c r="E4" s="2" t="s">
        <v>10</v>
      </c>
      <c r="F4" s="2" t="s">
        <v>12</v>
      </c>
      <c r="G4" s="12"/>
      <c r="H4" s="2"/>
      <c r="I4" s="2"/>
      <c r="L4" s="8" t="s">
        <v>1</v>
      </c>
      <c r="M4" s="8" t="s">
        <v>2</v>
      </c>
      <c r="N4" s="8" t="s">
        <v>3</v>
      </c>
      <c r="O4" s="8" t="s">
        <v>5</v>
      </c>
      <c r="P4" s="8" t="s">
        <v>4</v>
      </c>
      <c r="Q4" s="8" t="s">
        <v>6</v>
      </c>
    </row>
    <row r="5" spans="2:23" x14ac:dyDescent="0.25">
      <c r="B5" s="1">
        <v>1</v>
      </c>
      <c r="C5" s="1"/>
      <c r="D5" s="15" t="str">
        <f>Tabelle1!A2</f>
        <v>Deutsche Bank AG</v>
      </c>
      <c r="E5" s="15">
        <f>Tabelle1!C2</f>
        <v>7.6</v>
      </c>
      <c r="F5" s="15">
        <f>Tabelle1!D2</f>
        <v>100.54</v>
      </c>
      <c r="H5" s="4"/>
      <c r="I5" s="3"/>
      <c r="L5" s="4">
        <f>E5</f>
        <v>7.6</v>
      </c>
      <c r="M5" s="4">
        <f>F5</f>
        <v>100.54</v>
      </c>
      <c r="N5" s="4">
        <v>0</v>
      </c>
      <c r="O5" s="4">
        <f t="shared" ref="O5:O16" si="0">N5+L5</f>
        <v>7.6</v>
      </c>
      <c r="P5" s="4">
        <v>0</v>
      </c>
      <c r="Q5" s="4">
        <f>P5+M5</f>
        <v>100.54</v>
      </c>
      <c r="R5" s="1" t="str">
        <f>D5</f>
        <v>Deutsche Bank AG</v>
      </c>
      <c r="U5" s="4"/>
      <c r="V5" s="4"/>
      <c r="W5" s="4"/>
    </row>
    <row r="6" spans="2:23" x14ac:dyDescent="0.25">
      <c r="B6" s="1">
        <v>2</v>
      </c>
      <c r="C6" s="1"/>
      <c r="D6" s="15" t="str">
        <f>Tabelle1!A3</f>
        <v>BNP Paribas</v>
      </c>
      <c r="E6" s="15">
        <f>Tabelle1!C3</f>
        <v>9.0500000000000007</v>
      </c>
      <c r="F6" s="15">
        <f>Tabelle1!D3</f>
        <v>65.56</v>
      </c>
      <c r="H6" s="4"/>
      <c r="I6" s="3"/>
      <c r="L6" s="4">
        <f>E6</f>
        <v>9.0500000000000007</v>
      </c>
      <c r="M6" s="4">
        <f t="shared" ref="L6:M16" si="1">F6</f>
        <v>65.56</v>
      </c>
      <c r="N6" s="4">
        <f t="shared" ref="N6:N16" si="2">O5</f>
        <v>7.6</v>
      </c>
      <c r="O6" s="4">
        <f>N6+L6</f>
        <v>16.649999999999999</v>
      </c>
      <c r="P6" s="4">
        <f t="shared" ref="P6:P16" si="3">Q5</f>
        <v>100.54</v>
      </c>
      <c r="Q6" s="4">
        <f t="shared" ref="Q6:Q16" si="4">P6+M6</f>
        <v>166.10000000000002</v>
      </c>
      <c r="R6" s="1" t="str">
        <f t="shared" ref="R6:R16" si="5">D6</f>
        <v>BNP Paribas</v>
      </c>
      <c r="U6" s="4"/>
      <c r="V6" s="4"/>
      <c r="W6" s="4"/>
    </row>
    <row r="7" spans="2:23" x14ac:dyDescent="0.25">
      <c r="B7" s="1">
        <v>3</v>
      </c>
      <c r="C7" s="1"/>
      <c r="D7" s="15" t="str">
        <f>Tabelle1!A4</f>
        <v>Barclays PLC</v>
      </c>
      <c r="E7" s="15">
        <f>Tabelle1!C4</f>
        <v>7.59</v>
      </c>
      <c r="F7" s="15">
        <f>Tabelle1!D4</f>
        <v>79.47</v>
      </c>
      <c r="H7" s="6"/>
      <c r="I7" s="3"/>
      <c r="L7" s="4">
        <f t="shared" si="1"/>
        <v>7.59</v>
      </c>
      <c r="M7" s="4">
        <f t="shared" si="1"/>
        <v>79.47</v>
      </c>
      <c r="N7" s="4">
        <f t="shared" si="2"/>
        <v>16.649999999999999</v>
      </c>
      <c r="O7" s="4">
        <f t="shared" si="0"/>
        <v>24.24</v>
      </c>
      <c r="P7" s="4">
        <f t="shared" si="3"/>
        <v>166.10000000000002</v>
      </c>
      <c r="Q7" s="4">
        <f t="shared" si="4"/>
        <v>245.57000000000002</v>
      </c>
      <c r="R7" s="1" t="str">
        <f t="shared" si="5"/>
        <v>Barclays PLC</v>
      </c>
      <c r="U7" s="4"/>
      <c r="V7" s="4"/>
      <c r="W7" s="4"/>
    </row>
    <row r="8" spans="2:23" x14ac:dyDescent="0.25">
      <c r="B8" s="1">
        <v>4</v>
      </c>
      <c r="C8" s="1"/>
      <c r="D8" s="15" t="str">
        <f>Tabelle1!A5</f>
        <v>Credit Agricole SA</v>
      </c>
      <c r="E8" s="15">
        <f>Tabelle1!C5</f>
        <v>8.1300000000000008</v>
      </c>
      <c r="F8" s="15">
        <f>Tabelle1!D5</f>
        <v>166.83</v>
      </c>
      <c r="H8" s="4"/>
      <c r="I8" s="3"/>
      <c r="L8" s="4">
        <f t="shared" si="1"/>
        <v>8.1300000000000008</v>
      </c>
      <c r="M8" s="4">
        <f t="shared" si="1"/>
        <v>166.83</v>
      </c>
      <c r="N8" s="4">
        <f t="shared" si="2"/>
        <v>24.24</v>
      </c>
      <c r="O8" s="4">
        <f t="shared" si="0"/>
        <v>32.369999999999997</v>
      </c>
      <c r="P8" s="4">
        <f t="shared" si="3"/>
        <v>245.57000000000002</v>
      </c>
      <c r="Q8" s="4">
        <f t="shared" si="4"/>
        <v>412.40000000000003</v>
      </c>
      <c r="R8" s="1" t="str">
        <f t="shared" si="5"/>
        <v>Credit Agricole SA</v>
      </c>
      <c r="U8" s="4"/>
      <c r="V8" s="4"/>
      <c r="W8" s="4"/>
    </row>
    <row r="9" spans="2:23" x14ac:dyDescent="0.25">
      <c r="B9" s="1">
        <v>5</v>
      </c>
      <c r="C9" s="1"/>
      <c r="D9" s="15" t="str">
        <f>Tabelle1!A6</f>
        <v>Mitsubishi UFJ Financial Group</v>
      </c>
      <c r="E9" s="15">
        <f>Tabelle1!C6</f>
        <v>2.13</v>
      </c>
      <c r="F9" s="15">
        <f>Tabelle1!D6</f>
        <v>46.51</v>
      </c>
      <c r="H9" s="4"/>
      <c r="I9" s="3"/>
      <c r="L9" s="4">
        <f t="shared" si="1"/>
        <v>2.13</v>
      </c>
      <c r="M9" s="4">
        <f t="shared" si="1"/>
        <v>46.51</v>
      </c>
      <c r="N9" s="4">
        <f t="shared" si="2"/>
        <v>32.369999999999997</v>
      </c>
      <c r="O9" s="4">
        <f t="shared" si="0"/>
        <v>34.5</v>
      </c>
      <c r="P9" s="4">
        <f t="shared" si="3"/>
        <v>412.40000000000003</v>
      </c>
      <c r="Q9" s="4">
        <f t="shared" si="4"/>
        <v>458.91</v>
      </c>
      <c r="R9" s="1" t="str">
        <f t="shared" si="5"/>
        <v>Mitsubishi UFJ Financial Group</v>
      </c>
      <c r="U9" s="4"/>
      <c r="V9" s="4"/>
      <c r="W9" s="4"/>
    </row>
    <row r="10" spans="2:23" x14ac:dyDescent="0.25">
      <c r="B10" s="1">
        <v>6</v>
      </c>
      <c r="C10" s="1"/>
      <c r="D10" s="15" t="str">
        <f>Tabelle1!A7</f>
        <v>Royal Bank of Scotland Group PLC</v>
      </c>
      <c r="E10" s="15">
        <f>Tabelle1!C7</f>
        <v>7.76</v>
      </c>
      <c r="F10" s="15">
        <f>Tabelle1!D7</f>
        <v>70.02</v>
      </c>
      <c r="H10" s="4"/>
      <c r="I10" s="3"/>
      <c r="L10" s="4">
        <f t="shared" si="1"/>
        <v>7.76</v>
      </c>
      <c r="M10" s="4">
        <f t="shared" si="1"/>
        <v>70.02</v>
      </c>
      <c r="N10" s="4">
        <f t="shared" si="2"/>
        <v>34.5</v>
      </c>
      <c r="O10" s="4">
        <f t="shared" si="0"/>
        <v>42.26</v>
      </c>
      <c r="P10" s="4">
        <f t="shared" si="3"/>
        <v>458.91</v>
      </c>
      <c r="Q10" s="4">
        <f t="shared" si="4"/>
        <v>528.93000000000006</v>
      </c>
      <c r="R10" s="1" t="str">
        <f t="shared" si="5"/>
        <v>Royal Bank of Scotland Group PLC</v>
      </c>
      <c r="U10" s="4"/>
      <c r="V10" s="4"/>
      <c r="W10" s="4"/>
    </row>
    <row r="11" spans="2:23" x14ac:dyDescent="0.25">
      <c r="B11" s="1">
        <v>7</v>
      </c>
      <c r="C11" s="1"/>
      <c r="D11" s="15" t="str">
        <f>Tabelle1!A8</f>
        <v>HSBC Holdings PLC</v>
      </c>
      <c r="E11" s="15">
        <f>Tabelle1!C8</f>
        <v>4.33</v>
      </c>
      <c r="F11" s="15">
        <f>Tabelle1!D8</f>
        <v>20.58</v>
      </c>
      <c r="H11" s="4"/>
      <c r="I11" s="3"/>
      <c r="L11" s="4">
        <f t="shared" si="1"/>
        <v>4.33</v>
      </c>
      <c r="M11" s="4">
        <f t="shared" si="1"/>
        <v>20.58</v>
      </c>
      <c r="N11" s="4">
        <f t="shared" si="2"/>
        <v>42.26</v>
      </c>
      <c r="O11" s="4">
        <f t="shared" si="0"/>
        <v>46.589999999999996</v>
      </c>
      <c r="P11" s="4">
        <f t="shared" si="3"/>
        <v>528.93000000000006</v>
      </c>
      <c r="Q11" s="4">
        <f t="shared" si="4"/>
        <v>549.5100000000001</v>
      </c>
      <c r="R11" s="1" t="str">
        <f t="shared" si="5"/>
        <v>HSBC Holdings PLC</v>
      </c>
      <c r="U11" s="4"/>
      <c r="V11" s="4"/>
    </row>
    <row r="12" spans="2:23" x14ac:dyDescent="0.25">
      <c r="B12" s="1">
        <v>8</v>
      </c>
      <c r="C12" s="1"/>
      <c r="D12" s="15" t="str">
        <f>Tabelle1!A9</f>
        <v>Mizuho Financial Group Inc</v>
      </c>
      <c r="E12" s="15">
        <f>Tabelle1!C9</f>
        <v>2.1800000000000002</v>
      </c>
      <c r="F12" s="15">
        <f>Tabelle1!D9</f>
        <v>67.239999999999995</v>
      </c>
      <c r="H12" s="4"/>
      <c r="I12" s="3"/>
      <c r="L12" s="4">
        <f t="shared" si="1"/>
        <v>2.1800000000000002</v>
      </c>
      <c r="M12" s="4">
        <f t="shared" si="1"/>
        <v>67.239999999999995</v>
      </c>
      <c r="N12" s="4">
        <f t="shared" si="2"/>
        <v>46.589999999999996</v>
      </c>
      <c r="O12" s="4">
        <f t="shared" si="0"/>
        <v>48.769999999999996</v>
      </c>
      <c r="P12" s="4">
        <f t="shared" si="3"/>
        <v>549.5100000000001</v>
      </c>
      <c r="Q12" s="4">
        <f t="shared" si="4"/>
        <v>616.75000000000011</v>
      </c>
      <c r="R12" s="1" t="str">
        <f t="shared" si="5"/>
        <v>Mizuho Financial Group Inc</v>
      </c>
      <c r="U12" s="4"/>
      <c r="V12" s="4"/>
    </row>
    <row r="13" spans="2:23" x14ac:dyDescent="0.25">
      <c r="B13" s="1">
        <v>9</v>
      </c>
      <c r="C13" s="1"/>
      <c r="D13" s="15" t="str">
        <f>Tabelle1!A10</f>
        <v>Bank Of America</v>
      </c>
      <c r="E13" s="15">
        <f>Tabelle1!C10</f>
        <v>5.44</v>
      </c>
      <c r="F13" s="15">
        <f>Tabelle1!D10</f>
        <v>38.96</v>
      </c>
      <c r="H13" s="4"/>
      <c r="I13" s="3"/>
      <c r="L13" s="4">
        <f t="shared" si="1"/>
        <v>5.44</v>
      </c>
      <c r="M13" s="4">
        <f t="shared" si="1"/>
        <v>38.96</v>
      </c>
      <c r="N13" s="4">
        <f t="shared" si="2"/>
        <v>48.769999999999996</v>
      </c>
      <c r="O13" s="4">
        <f t="shared" si="0"/>
        <v>54.209999999999994</v>
      </c>
      <c r="P13" s="4">
        <f t="shared" si="3"/>
        <v>616.75000000000011</v>
      </c>
      <c r="Q13" s="4">
        <f t="shared" si="4"/>
        <v>655.71000000000015</v>
      </c>
      <c r="R13" s="1" t="str">
        <f t="shared" si="5"/>
        <v>Bank Of America</v>
      </c>
      <c r="U13" s="4"/>
      <c r="V13" s="4"/>
    </row>
    <row r="14" spans="2:23" x14ac:dyDescent="0.25">
      <c r="B14" s="1">
        <v>10</v>
      </c>
      <c r="C14" s="1"/>
      <c r="D14" s="15" t="str">
        <f>Tabelle1!A11</f>
        <v>ING Groep NV</v>
      </c>
      <c r="E14" s="15">
        <f>Tabelle1!C11</f>
        <v>10.24</v>
      </c>
      <c r="F14" s="15">
        <f>Tabelle1!D11</f>
        <v>69.58</v>
      </c>
      <c r="H14" s="4"/>
      <c r="I14" s="3"/>
      <c r="L14" s="4">
        <f t="shared" si="1"/>
        <v>10.24</v>
      </c>
      <c r="M14" s="4">
        <f t="shared" si="1"/>
        <v>69.58</v>
      </c>
      <c r="N14" s="4">
        <f t="shared" si="2"/>
        <v>54.209999999999994</v>
      </c>
      <c r="O14" s="4">
        <f t="shared" si="0"/>
        <v>64.449999999999989</v>
      </c>
      <c r="P14" s="4">
        <f t="shared" si="3"/>
        <v>655.71000000000015</v>
      </c>
      <c r="Q14" s="4">
        <f t="shared" si="4"/>
        <v>725.29000000000019</v>
      </c>
      <c r="R14" s="1" t="str">
        <f t="shared" si="5"/>
        <v>ING Groep NV</v>
      </c>
      <c r="U14" s="4"/>
      <c r="V14" s="4"/>
    </row>
    <row r="15" spans="2:23" x14ac:dyDescent="0.25">
      <c r="B15" s="1"/>
      <c r="D15" s="13">
        <v>0</v>
      </c>
      <c r="E15" s="14">
        <v>0</v>
      </c>
      <c r="F15" s="14">
        <v>0</v>
      </c>
      <c r="H15" s="4"/>
      <c r="I15" s="3"/>
      <c r="L15" s="4">
        <f t="shared" si="1"/>
        <v>0</v>
      </c>
      <c r="M15" s="4">
        <f t="shared" si="1"/>
        <v>0</v>
      </c>
      <c r="N15" s="4">
        <f t="shared" si="2"/>
        <v>64.449999999999989</v>
      </c>
      <c r="O15" s="4">
        <f t="shared" si="0"/>
        <v>64.449999999999989</v>
      </c>
      <c r="P15" s="4">
        <f t="shared" si="3"/>
        <v>725.29000000000019</v>
      </c>
      <c r="Q15" s="4">
        <f t="shared" si="4"/>
        <v>725.29000000000019</v>
      </c>
      <c r="R15" s="1">
        <f t="shared" si="5"/>
        <v>0</v>
      </c>
      <c r="U15" s="4"/>
      <c r="V15" s="4"/>
    </row>
    <row r="16" spans="2:23" x14ac:dyDescent="0.25">
      <c r="B16" s="1"/>
      <c r="D16" s="13">
        <v>0</v>
      </c>
      <c r="E16" s="14">
        <v>0</v>
      </c>
      <c r="F16" s="14">
        <v>0</v>
      </c>
      <c r="H16" s="6"/>
      <c r="I16" s="3"/>
      <c r="L16" s="4">
        <f t="shared" si="1"/>
        <v>0</v>
      </c>
      <c r="M16" s="4">
        <f t="shared" si="1"/>
        <v>0</v>
      </c>
      <c r="N16" s="4">
        <f t="shared" si="2"/>
        <v>64.449999999999989</v>
      </c>
      <c r="O16" s="4">
        <f t="shared" si="0"/>
        <v>64.449999999999989</v>
      </c>
      <c r="P16" s="4">
        <f t="shared" si="3"/>
        <v>725.29000000000019</v>
      </c>
      <c r="Q16" s="4">
        <f t="shared" si="4"/>
        <v>725.29000000000019</v>
      </c>
      <c r="R16" s="1">
        <f t="shared" si="5"/>
        <v>0</v>
      </c>
      <c r="U16" s="4"/>
      <c r="V16" s="4"/>
    </row>
    <row r="19" spans="2:23" x14ac:dyDescent="0.25">
      <c r="E19" s="8"/>
      <c r="F19" s="8"/>
    </row>
    <row r="20" spans="2:23" x14ac:dyDescent="0.25">
      <c r="E20" s="7"/>
      <c r="L20" s="9"/>
    </row>
    <row r="21" spans="2:23" x14ac:dyDescent="0.25">
      <c r="B21" s="8"/>
      <c r="D21" s="1"/>
      <c r="E21" s="2"/>
      <c r="F21" s="5"/>
      <c r="G21" s="10"/>
      <c r="I21" s="2"/>
      <c r="L21" s="8"/>
      <c r="M21" s="8"/>
      <c r="N21" s="8"/>
      <c r="O21" s="8"/>
      <c r="P21" s="8"/>
      <c r="Q21" s="8"/>
    </row>
    <row r="22" spans="2:23" x14ac:dyDescent="0.25">
      <c r="D22" s="1"/>
      <c r="E22" s="4"/>
      <c r="F22" s="4"/>
      <c r="I22" s="4"/>
      <c r="L22" s="4"/>
      <c r="M22" s="4"/>
      <c r="O22" s="4"/>
      <c r="Q22" s="4"/>
      <c r="R22" s="1"/>
      <c r="W22" s="4"/>
    </row>
    <row r="23" spans="2:23" x14ac:dyDescent="0.25">
      <c r="D23" s="1"/>
      <c r="E23" s="4"/>
      <c r="F23" s="4"/>
      <c r="I23" s="4"/>
      <c r="L23" s="4"/>
      <c r="M23" s="4"/>
      <c r="N23" s="4"/>
      <c r="O23" s="4"/>
      <c r="P23" s="4"/>
      <c r="Q23" s="4"/>
      <c r="R23" s="1"/>
      <c r="V23" s="4"/>
      <c r="W23" s="4"/>
    </row>
    <row r="24" spans="2:23" x14ac:dyDescent="0.25">
      <c r="D24" s="1"/>
      <c r="E24" s="6"/>
      <c r="F24" s="6"/>
      <c r="I24" s="6"/>
      <c r="L24" s="4"/>
      <c r="M24" s="4"/>
      <c r="N24" s="4"/>
      <c r="O24" s="4"/>
      <c r="P24" s="4"/>
      <c r="Q24" s="4"/>
      <c r="R24" s="1"/>
      <c r="V24" s="4"/>
      <c r="W24" s="4"/>
    </row>
    <row r="25" spans="2:23" x14ac:dyDescent="0.25">
      <c r="D25" s="1"/>
      <c r="E25" s="4"/>
      <c r="F25" s="4"/>
      <c r="I25" s="4"/>
      <c r="L25" s="4"/>
      <c r="M25" s="4"/>
      <c r="N25" s="4"/>
      <c r="O25" s="4"/>
      <c r="P25" s="4"/>
      <c r="Q25" s="4"/>
      <c r="R25" s="1"/>
      <c r="V25" s="4"/>
      <c r="W25" s="4"/>
    </row>
    <row r="26" spans="2:23" x14ac:dyDescent="0.25">
      <c r="D26" s="1"/>
      <c r="E26" s="4"/>
      <c r="F26" s="4"/>
      <c r="I26" s="4"/>
      <c r="L26" s="4"/>
      <c r="M26" s="4"/>
      <c r="N26" s="4"/>
      <c r="O26" s="4"/>
      <c r="P26" s="4"/>
      <c r="Q26" s="4"/>
      <c r="R26" s="1"/>
      <c r="V26" s="4"/>
      <c r="W26" s="4"/>
    </row>
    <row r="27" spans="2:23" x14ac:dyDescent="0.25">
      <c r="D27" s="1"/>
      <c r="E27" s="4"/>
      <c r="F27" s="4"/>
      <c r="I27" s="4"/>
      <c r="L27" s="4"/>
      <c r="M27" s="4"/>
      <c r="N27" s="4"/>
      <c r="O27" s="4"/>
      <c r="P27" s="4"/>
      <c r="Q27" s="4"/>
      <c r="R27" s="1"/>
      <c r="V27" s="4"/>
      <c r="W27" s="4"/>
    </row>
    <row r="28" spans="2:23" x14ac:dyDescent="0.25">
      <c r="D28" s="1"/>
      <c r="E28" s="4"/>
      <c r="F28" s="4"/>
      <c r="I28" s="4"/>
      <c r="L28" s="4"/>
      <c r="M28" s="4"/>
      <c r="N28" s="4"/>
      <c r="O28" s="4"/>
      <c r="P28" s="4"/>
      <c r="Q28" s="4"/>
      <c r="R28" s="1"/>
    </row>
    <row r="29" spans="2:23" x14ac:dyDescent="0.25">
      <c r="D29" s="1"/>
      <c r="E29" s="4"/>
      <c r="F29" s="4"/>
      <c r="I29" s="4"/>
      <c r="L29" s="4"/>
      <c r="M29" s="4"/>
      <c r="N29" s="4"/>
      <c r="O29" s="4"/>
      <c r="P29" s="4"/>
      <c r="Q29" s="4"/>
      <c r="R29" s="1"/>
    </row>
    <row r="30" spans="2:23" x14ac:dyDescent="0.25">
      <c r="D30" s="1"/>
      <c r="E30" s="4"/>
      <c r="F30" s="4"/>
      <c r="I30" s="4"/>
      <c r="L30" s="4"/>
      <c r="M30" s="4"/>
      <c r="N30" s="4"/>
      <c r="O30" s="4"/>
      <c r="P30" s="4"/>
      <c r="Q30" s="4"/>
      <c r="R30" s="1"/>
    </row>
    <row r="31" spans="2:23" x14ac:dyDescent="0.25">
      <c r="D31" s="1"/>
      <c r="E31" s="4"/>
      <c r="F31" s="4"/>
      <c r="I31" s="4"/>
      <c r="L31" s="4"/>
      <c r="M31" s="4"/>
      <c r="N31" s="4"/>
      <c r="O31" s="4"/>
      <c r="P31" s="4"/>
      <c r="Q31" s="4"/>
      <c r="R31" s="1"/>
    </row>
    <row r="32" spans="2:23" x14ac:dyDescent="0.25">
      <c r="D32" s="1"/>
      <c r="E32" s="4"/>
      <c r="F32" s="4"/>
      <c r="I32" s="4"/>
      <c r="L32" s="4"/>
      <c r="M32" s="4"/>
      <c r="N32" s="4"/>
      <c r="O32" s="4"/>
      <c r="P32" s="4"/>
      <c r="Q32" s="4"/>
      <c r="R32" s="1"/>
    </row>
    <row r="33" spans="4:18" x14ac:dyDescent="0.25">
      <c r="D33" s="1"/>
      <c r="E33" s="6"/>
      <c r="F33" s="6"/>
      <c r="I33" s="6"/>
      <c r="L33" s="4"/>
      <c r="M33" s="4"/>
      <c r="N33" s="4"/>
      <c r="O33" s="4"/>
      <c r="P33" s="4"/>
      <c r="Q33" s="4"/>
      <c r="R33" s="1"/>
    </row>
  </sheetData>
  <pageMargins left="0.70866141732283472" right="0.70866141732283472" top="0.78740157480314965" bottom="0.78740157480314965" header="0.31496062992125984" footer="0.31496062992125984"/>
  <pageSetup paperSize="9" scale="48" orientation="landscape" horizontalDpi="0" verticalDpi="0" r:id="rId1"/>
  <headerFooter>
    <oddFooter>&amp;L&amp;F&amp;R&amp;A</oddFooter>
  </headerFooter>
  <customProperties>
    <customPr name="DVSECTION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IV6"/>
  <sheetViews>
    <sheetView workbookViewId="0">
      <selection activeCell="BB6" sqref="BB6"/>
    </sheetView>
  </sheetViews>
  <sheetFormatPr baseColWidth="10" defaultRowHeight="15" x14ac:dyDescent="0.25"/>
  <sheetData>
    <row r="1" spans="1:256" x14ac:dyDescent="0.25">
      <c r="A1">
        <f>IF('Deckblatt Risk'!1:1,"AAAAAFPf/wA=",0)</f>
        <v>0</v>
      </c>
      <c r="B1" t="e">
        <f>AND('Deckblatt Risk'!A1,"AAAAAFPf/wE=")</f>
        <v>#VALUE!</v>
      </c>
      <c r="C1">
        <f>IF('Deckblatt Risk'!A:A,"AAAAAFPf/wI=",0)</f>
        <v>0</v>
      </c>
      <c r="D1">
        <f>IF('Risk LVG SRISK%'!1:1,"AAAAAFPf/wM=",0)</f>
        <v>0</v>
      </c>
      <c r="E1" t="e">
        <f>AND('Risk LVG SRISK%'!B1,"AAAAAFPf/wQ=")</f>
        <v>#VALUE!</v>
      </c>
      <c r="F1" t="e">
        <f>AND('Risk LVG SRISK%'!C1,"AAAAAFPf/wU=")</f>
        <v>#VALUE!</v>
      </c>
      <c r="G1" t="e">
        <f>AND('Risk LVG SRISK%'!D1,"AAAAAFPf/wY=")</f>
        <v>#VALUE!</v>
      </c>
      <c r="H1" t="e">
        <f>AND('Risk LVG SRISK%'!E1,"AAAAAFPf/wc=")</f>
        <v>#VALUE!</v>
      </c>
      <c r="I1" t="e">
        <f>AND('Risk LVG SRISK%'!F1,"AAAAAFPf/wg=")</f>
        <v>#VALUE!</v>
      </c>
      <c r="J1" t="e">
        <f>AND('Risk LVG SRISK%'!G1,"AAAAAFPf/wk=")</f>
        <v>#VALUE!</v>
      </c>
      <c r="K1" t="e">
        <f>AND('Risk LVG SRISK%'!H1,"AAAAAFPf/wo=")</f>
        <v>#VALUE!</v>
      </c>
      <c r="L1" t="e">
        <f>AND('Risk LVG SRISK%'!I1,"AAAAAFPf/ws=")</f>
        <v>#VALUE!</v>
      </c>
      <c r="M1" t="e">
        <f>AND('Risk LVG SRISK%'!J1,"AAAAAFPf/ww=")</f>
        <v>#VALUE!</v>
      </c>
      <c r="N1" t="e">
        <f>AND('Risk LVG SRISK%'!K1,"AAAAAFPf/w0=")</f>
        <v>#VALUE!</v>
      </c>
      <c r="O1" t="e">
        <f>AND('Risk LVG SRISK%'!L1,"AAAAAFPf/w4=")</f>
        <v>#VALUE!</v>
      </c>
      <c r="P1" t="e">
        <f>AND('Risk LVG SRISK%'!M1,"AAAAAFPf/w8=")</f>
        <v>#VALUE!</v>
      </c>
      <c r="Q1" t="e">
        <f>AND('Risk LVG SRISK%'!N1,"AAAAAFPf/xA=")</f>
        <v>#VALUE!</v>
      </c>
      <c r="R1" t="e">
        <f>AND('Risk LVG SRISK%'!O1,"AAAAAFPf/xE=")</f>
        <v>#VALUE!</v>
      </c>
      <c r="S1" t="e">
        <f>AND('Risk LVG SRISK%'!P1,"AAAAAFPf/xI=")</f>
        <v>#VALUE!</v>
      </c>
      <c r="T1" t="e">
        <f>AND('Risk LVG SRISK%'!Q1,"AAAAAFPf/xM=")</f>
        <v>#VALUE!</v>
      </c>
      <c r="U1" t="e">
        <f>AND('Risk LVG SRISK%'!R1,"AAAAAFPf/xQ=")</f>
        <v>#VALUE!</v>
      </c>
      <c r="V1" t="e">
        <f>AND('Risk LVG SRISK%'!S1,"AAAAAFPf/xU=")</f>
        <v>#VALUE!</v>
      </c>
      <c r="W1" t="e">
        <f>AND('Risk LVG SRISK%'!T1,"AAAAAFPf/xY=")</f>
        <v>#VALUE!</v>
      </c>
      <c r="X1" t="e">
        <f>AND('Risk LVG SRISK%'!U1,"AAAAAFPf/xc=")</f>
        <v>#VALUE!</v>
      </c>
      <c r="Y1" t="e">
        <f>AND('Risk LVG SRISK%'!V1,"AAAAAFPf/xg=")</f>
        <v>#VALUE!</v>
      </c>
      <c r="Z1" t="e">
        <f>AND('Risk LVG SRISK%'!W1,"AAAAAFPf/xk=")</f>
        <v>#VALUE!</v>
      </c>
      <c r="AA1">
        <f>IF('Risk LVG SRISK%'!2:2,"AAAAAFPf/xo=",0)</f>
        <v>0</v>
      </c>
      <c r="AB1" t="e">
        <f>AND('Risk LVG SRISK%'!B2,"AAAAAFPf/xs=")</f>
        <v>#VALUE!</v>
      </c>
      <c r="AC1" t="e">
        <f>AND('Risk LVG SRISK%'!C2,"AAAAAFPf/xw=")</f>
        <v>#VALUE!</v>
      </c>
      <c r="AD1" t="e">
        <f>AND('Risk LVG SRISK%'!D2,"AAAAAFPf/x0=")</f>
        <v>#VALUE!</v>
      </c>
      <c r="AE1" t="e">
        <f>AND('Risk LVG SRISK%'!E2,"AAAAAFPf/x4=")</f>
        <v>#VALUE!</v>
      </c>
      <c r="AF1" t="e">
        <f>AND('Risk LVG SRISK%'!F2,"AAAAAFPf/x8=")</f>
        <v>#VALUE!</v>
      </c>
      <c r="AG1" t="e">
        <f>AND('Risk LVG SRISK%'!G2,"AAAAAFPf/yA=")</f>
        <v>#VALUE!</v>
      </c>
      <c r="AH1" t="e">
        <f>AND('Risk LVG SRISK%'!H2,"AAAAAFPf/yE=")</f>
        <v>#VALUE!</v>
      </c>
      <c r="AI1" t="e">
        <f>AND('Risk LVG SRISK%'!I2,"AAAAAFPf/yI=")</f>
        <v>#VALUE!</v>
      </c>
      <c r="AJ1" t="e">
        <f>AND('Risk LVG SRISK%'!J2,"AAAAAFPf/yM=")</f>
        <v>#VALUE!</v>
      </c>
      <c r="AK1" t="e">
        <f>AND('Risk LVG SRISK%'!K2,"AAAAAFPf/yQ=")</f>
        <v>#VALUE!</v>
      </c>
      <c r="AL1" t="e">
        <f>AND('Risk LVG SRISK%'!L2,"AAAAAFPf/yU=")</f>
        <v>#VALUE!</v>
      </c>
      <c r="AM1" t="e">
        <f>AND('Risk LVG SRISK%'!M2,"AAAAAFPf/yY=")</f>
        <v>#VALUE!</v>
      </c>
      <c r="AN1" t="e">
        <f>AND('Risk LVG SRISK%'!N2,"AAAAAFPf/yc=")</f>
        <v>#VALUE!</v>
      </c>
      <c r="AO1" t="e">
        <f>AND('Risk LVG SRISK%'!O2,"AAAAAFPf/yg=")</f>
        <v>#VALUE!</v>
      </c>
      <c r="AP1" t="e">
        <f>AND('Risk LVG SRISK%'!P2,"AAAAAFPf/yk=")</f>
        <v>#VALUE!</v>
      </c>
      <c r="AQ1" t="e">
        <f>AND('Risk LVG SRISK%'!Q2,"AAAAAFPf/yo=")</f>
        <v>#VALUE!</v>
      </c>
      <c r="AR1" t="e">
        <f>AND('Risk LVG SRISK%'!R2,"AAAAAFPf/ys=")</f>
        <v>#VALUE!</v>
      </c>
      <c r="AS1" t="e">
        <f>AND('Risk LVG SRISK%'!S2,"AAAAAFPf/yw=")</f>
        <v>#VALUE!</v>
      </c>
      <c r="AT1" t="e">
        <f>AND('Risk LVG SRISK%'!T2,"AAAAAFPf/y0=")</f>
        <v>#VALUE!</v>
      </c>
      <c r="AU1" t="e">
        <f>AND('Risk LVG SRISK%'!U2,"AAAAAFPf/y4=")</f>
        <v>#VALUE!</v>
      </c>
      <c r="AV1" t="e">
        <f>AND('Risk LVG SRISK%'!V2,"AAAAAFPf/y8=")</f>
        <v>#VALUE!</v>
      </c>
      <c r="AW1" t="e">
        <f>AND('Risk LVG SRISK%'!W2,"AAAAAFPf/zA=")</f>
        <v>#VALUE!</v>
      </c>
      <c r="AX1">
        <f>IF('Risk LVG SRISK%'!3:3,"AAAAAFPf/zE=",0)</f>
        <v>0</v>
      </c>
      <c r="AY1" t="e">
        <f>AND('Risk LVG SRISK%'!B3,"AAAAAFPf/zI=")</f>
        <v>#VALUE!</v>
      </c>
      <c r="AZ1" t="e">
        <f>AND('Risk LVG SRISK%'!C3,"AAAAAFPf/zM=")</f>
        <v>#VALUE!</v>
      </c>
      <c r="BA1" t="e">
        <f>AND('Risk LVG SRISK%'!D3,"AAAAAFPf/zQ=")</f>
        <v>#VALUE!</v>
      </c>
      <c r="BB1" t="e">
        <f>AND('Risk LVG SRISK%'!E3,"AAAAAFPf/zU=")</f>
        <v>#VALUE!</v>
      </c>
      <c r="BC1" t="e">
        <f>AND('Risk LVG SRISK%'!F3,"AAAAAFPf/zY=")</f>
        <v>#VALUE!</v>
      </c>
      <c r="BD1" t="e">
        <f>AND('Risk LVG SRISK%'!G3,"AAAAAFPf/zc=")</f>
        <v>#VALUE!</v>
      </c>
      <c r="BE1" t="e">
        <f>AND('Risk LVG SRISK%'!H3,"AAAAAFPf/zg=")</f>
        <v>#VALUE!</v>
      </c>
      <c r="BF1" t="e">
        <f>AND('Risk LVG SRISK%'!I3,"AAAAAFPf/zk=")</f>
        <v>#VALUE!</v>
      </c>
      <c r="BG1" t="e">
        <f>AND('Risk LVG SRISK%'!J3,"AAAAAFPf/zo=")</f>
        <v>#VALUE!</v>
      </c>
      <c r="BH1" t="e">
        <f>AND('Risk LVG SRISK%'!K3,"AAAAAFPf/zs=")</f>
        <v>#VALUE!</v>
      </c>
      <c r="BI1" t="e">
        <f>AND('Risk LVG SRISK%'!L3,"AAAAAFPf/zw=")</f>
        <v>#VALUE!</v>
      </c>
      <c r="BJ1" t="e">
        <f>AND('Risk LVG SRISK%'!M3,"AAAAAFPf/z0=")</f>
        <v>#VALUE!</v>
      </c>
      <c r="BK1" t="e">
        <f>AND('Risk LVG SRISK%'!N3,"AAAAAFPf/z4=")</f>
        <v>#VALUE!</v>
      </c>
      <c r="BL1" t="e">
        <f>AND('Risk LVG SRISK%'!O3,"AAAAAFPf/z8=")</f>
        <v>#VALUE!</v>
      </c>
      <c r="BM1" t="e">
        <f>AND('Risk LVG SRISK%'!P3,"AAAAAFPf/0A=")</f>
        <v>#VALUE!</v>
      </c>
      <c r="BN1" t="e">
        <f>AND('Risk LVG SRISK%'!Q3,"AAAAAFPf/0E=")</f>
        <v>#VALUE!</v>
      </c>
      <c r="BO1" t="e">
        <f>AND('Risk LVG SRISK%'!R3,"AAAAAFPf/0I=")</f>
        <v>#VALUE!</v>
      </c>
      <c r="BP1" t="e">
        <f>AND('Risk LVG SRISK%'!S3,"AAAAAFPf/0M=")</f>
        <v>#VALUE!</v>
      </c>
      <c r="BQ1" t="e">
        <f>AND('Risk LVG SRISK%'!T3,"AAAAAFPf/0Q=")</f>
        <v>#VALUE!</v>
      </c>
      <c r="BR1" t="e">
        <f>AND('Risk LVG SRISK%'!U3,"AAAAAFPf/0U=")</f>
        <v>#VALUE!</v>
      </c>
      <c r="BS1" t="e">
        <f>AND('Risk LVG SRISK%'!V3,"AAAAAFPf/0Y=")</f>
        <v>#VALUE!</v>
      </c>
      <c r="BT1" t="e">
        <f>AND('Risk LVG SRISK%'!W3,"AAAAAFPf/0c=")</f>
        <v>#VALUE!</v>
      </c>
      <c r="BU1">
        <f>IF('Risk LVG SRISK%'!4:4,"AAAAAFPf/0g=",0)</f>
        <v>0</v>
      </c>
      <c r="BV1" t="e">
        <f>AND('Risk LVG SRISK%'!B4,"AAAAAFPf/0k=")</f>
        <v>#VALUE!</v>
      </c>
      <c r="BW1" t="e">
        <f>AND('Risk LVG SRISK%'!C4,"AAAAAFPf/0o=")</f>
        <v>#VALUE!</v>
      </c>
      <c r="BX1" t="e">
        <f>AND('Risk LVG SRISK%'!D4,"AAAAAFPf/0s=")</f>
        <v>#VALUE!</v>
      </c>
      <c r="BY1" t="e">
        <f>AND('Risk LVG SRISK%'!E4,"AAAAAFPf/0w=")</f>
        <v>#VALUE!</v>
      </c>
      <c r="BZ1" t="e">
        <f>AND('Risk LVG SRISK%'!F4,"AAAAAFPf/00=")</f>
        <v>#VALUE!</v>
      </c>
      <c r="CA1" t="e">
        <f>AND('Risk LVG SRISK%'!G4,"AAAAAFPf/04=")</f>
        <v>#VALUE!</v>
      </c>
      <c r="CB1" t="e">
        <f>AND('Risk LVG SRISK%'!H4,"AAAAAFPf/08=")</f>
        <v>#VALUE!</v>
      </c>
      <c r="CC1" t="e">
        <f>AND('Risk LVG SRISK%'!I4,"AAAAAFPf/1A=")</f>
        <v>#VALUE!</v>
      </c>
      <c r="CD1" t="e">
        <f>AND('Risk LVG SRISK%'!J4,"AAAAAFPf/1E=")</f>
        <v>#VALUE!</v>
      </c>
      <c r="CE1" t="e">
        <f>AND('Risk LVG SRISK%'!K4,"AAAAAFPf/1I=")</f>
        <v>#VALUE!</v>
      </c>
      <c r="CF1" t="e">
        <f>AND('Risk LVG SRISK%'!L4,"AAAAAFPf/1M=")</f>
        <v>#VALUE!</v>
      </c>
      <c r="CG1" t="e">
        <f>AND('Risk LVG SRISK%'!M4,"AAAAAFPf/1Q=")</f>
        <v>#VALUE!</v>
      </c>
      <c r="CH1" t="e">
        <f>AND('Risk LVG SRISK%'!N4,"AAAAAFPf/1U=")</f>
        <v>#VALUE!</v>
      </c>
      <c r="CI1" t="e">
        <f>AND('Risk LVG SRISK%'!O4,"AAAAAFPf/1Y=")</f>
        <v>#VALUE!</v>
      </c>
      <c r="CJ1" t="e">
        <f>AND('Risk LVG SRISK%'!P4,"AAAAAFPf/1c=")</f>
        <v>#VALUE!</v>
      </c>
      <c r="CK1" t="e">
        <f>AND('Risk LVG SRISK%'!Q4,"AAAAAFPf/1g=")</f>
        <v>#VALUE!</v>
      </c>
      <c r="CL1" t="e">
        <f>AND('Risk LVG SRISK%'!R4,"AAAAAFPf/1k=")</f>
        <v>#VALUE!</v>
      </c>
      <c r="CM1" t="e">
        <f>AND('Risk LVG SRISK%'!S4,"AAAAAFPf/1o=")</f>
        <v>#VALUE!</v>
      </c>
      <c r="CN1" t="e">
        <f>AND('Risk LVG SRISK%'!T4,"AAAAAFPf/1s=")</f>
        <v>#VALUE!</v>
      </c>
      <c r="CO1" t="e">
        <f>AND('Risk LVG SRISK%'!U4,"AAAAAFPf/1w=")</f>
        <v>#VALUE!</v>
      </c>
      <c r="CP1" t="e">
        <f>AND('Risk LVG SRISK%'!V4,"AAAAAFPf/10=")</f>
        <v>#VALUE!</v>
      </c>
      <c r="CQ1" t="e">
        <f>AND('Risk LVG SRISK%'!W4,"AAAAAFPf/14=")</f>
        <v>#VALUE!</v>
      </c>
      <c r="CR1">
        <f>IF('Risk LVG SRISK%'!5:5,"AAAAAFPf/18=",0)</f>
        <v>0</v>
      </c>
      <c r="CS1" t="e">
        <f>AND('Risk LVG SRISK%'!B5,"AAAAAFPf/2A=")</f>
        <v>#VALUE!</v>
      </c>
      <c r="CT1" t="e">
        <f>AND('Risk LVG SRISK%'!C5,"AAAAAFPf/2E=")</f>
        <v>#VALUE!</v>
      </c>
      <c r="CU1" t="e">
        <f>AND('Risk LVG SRISK%'!D5,"AAAAAFPf/2I=")</f>
        <v>#VALUE!</v>
      </c>
      <c r="CV1" t="e">
        <f>AND('Risk LVG SRISK%'!E5,"AAAAAFPf/2M=")</f>
        <v>#VALUE!</v>
      </c>
      <c r="CW1" t="e">
        <f>AND('Risk LVG SRISK%'!F5,"AAAAAFPf/2Q=")</f>
        <v>#VALUE!</v>
      </c>
      <c r="CX1" t="e">
        <f>AND('Risk LVG SRISK%'!G5,"AAAAAFPf/2U=")</f>
        <v>#VALUE!</v>
      </c>
      <c r="CY1" t="e">
        <f>AND('Risk LVG SRISK%'!H5,"AAAAAFPf/2Y=")</f>
        <v>#VALUE!</v>
      </c>
      <c r="CZ1" t="e">
        <f>AND('Risk LVG SRISK%'!I5,"AAAAAFPf/2c=")</f>
        <v>#VALUE!</v>
      </c>
      <c r="DA1" t="e">
        <f>AND('Risk LVG SRISK%'!J5,"AAAAAFPf/2g=")</f>
        <v>#VALUE!</v>
      </c>
      <c r="DB1" t="e">
        <f>AND('Risk LVG SRISK%'!K5,"AAAAAFPf/2k=")</f>
        <v>#VALUE!</v>
      </c>
      <c r="DC1" t="e">
        <f>AND('Risk LVG SRISK%'!L5,"AAAAAFPf/2o=")</f>
        <v>#VALUE!</v>
      </c>
      <c r="DD1" t="e">
        <f>AND('Risk LVG SRISK%'!M5,"AAAAAFPf/2s=")</f>
        <v>#VALUE!</v>
      </c>
      <c r="DE1" t="e">
        <f>AND('Risk LVG SRISK%'!N5,"AAAAAFPf/2w=")</f>
        <v>#VALUE!</v>
      </c>
      <c r="DF1" t="e">
        <f>AND('Risk LVG SRISK%'!O5,"AAAAAFPf/20=")</f>
        <v>#VALUE!</v>
      </c>
      <c r="DG1" t="e">
        <f>AND('Risk LVG SRISK%'!P5,"AAAAAFPf/24=")</f>
        <v>#VALUE!</v>
      </c>
      <c r="DH1" t="e">
        <f>AND('Risk LVG SRISK%'!Q5,"AAAAAFPf/28=")</f>
        <v>#VALUE!</v>
      </c>
      <c r="DI1" t="e">
        <f>AND('Risk LVG SRISK%'!R5,"AAAAAFPf/3A=")</f>
        <v>#VALUE!</v>
      </c>
      <c r="DJ1" t="e">
        <f>AND('Risk LVG SRISK%'!S5,"AAAAAFPf/3E=")</f>
        <v>#VALUE!</v>
      </c>
      <c r="DK1" t="e">
        <f>AND('Risk LVG SRISK%'!T5,"AAAAAFPf/3I=")</f>
        <v>#VALUE!</v>
      </c>
      <c r="DL1" t="e">
        <f>AND('Risk LVG SRISK%'!U5,"AAAAAFPf/3M=")</f>
        <v>#VALUE!</v>
      </c>
      <c r="DM1" t="e">
        <f>AND('Risk LVG SRISK%'!V5,"AAAAAFPf/3Q=")</f>
        <v>#VALUE!</v>
      </c>
      <c r="DN1" t="e">
        <f>AND('Risk LVG SRISK%'!W5,"AAAAAFPf/3U=")</f>
        <v>#VALUE!</v>
      </c>
      <c r="DO1">
        <f>IF('Risk LVG SRISK%'!6:6,"AAAAAFPf/3Y=",0)</f>
        <v>0</v>
      </c>
      <c r="DP1" t="e">
        <f>AND('Risk LVG SRISK%'!B6,"AAAAAFPf/3c=")</f>
        <v>#VALUE!</v>
      </c>
      <c r="DQ1" t="e">
        <f>AND('Risk LVG SRISK%'!C6,"AAAAAFPf/3g=")</f>
        <v>#VALUE!</v>
      </c>
      <c r="DR1" t="e">
        <f>AND('Risk LVG SRISK%'!D6,"AAAAAFPf/3k=")</f>
        <v>#VALUE!</v>
      </c>
      <c r="DS1" t="e">
        <f>AND('Risk LVG SRISK%'!E6,"AAAAAFPf/3o=")</f>
        <v>#VALUE!</v>
      </c>
      <c r="DT1" t="e">
        <f>AND('Risk LVG SRISK%'!F6,"AAAAAFPf/3s=")</f>
        <v>#VALUE!</v>
      </c>
      <c r="DU1" t="e">
        <f>AND('Risk LVG SRISK%'!G6,"AAAAAFPf/3w=")</f>
        <v>#VALUE!</v>
      </c>
      <c r="DV1" t="e">
        <f>AND('Risk LVG SRISK%'!H6,"AAAAAFPf/30=")</f>
        <v>#VALUE!</v>
      </c>
      <c r="DW1" t="e">
        <f>AND('Risk LVG SRISK%'!I6,"AAAAAFPf/34=")</f>
        <v>#VALUE!</v>
      </c>
      <c r="DX1" t="e">
        <f>AND('Risk LVG SRISK%'!J6,"AAAAAFPf/38=")</f>
        <v>#VALUE!</v>
      </c>
      <c r="DY1" t="e">
        <f>AND('Risk LVG SRISK%'!K6,"AAAAAFPf/4A=")</f>
        <v>#VALUE!</v>
      </c>
      <c r="DZ1" t="e">
        <f>AND('Risk LVG SRISK%'!L6,"AAAAAFPf/4E=")</f>
        <v>#VALUE!</v>
      </c>
      <c r="EA1" t="e">
        <f>AND('Risk LVG SRISK%'!M6,"AAAAAFPf/4I=")</f>
        <v>#VALUE!</v>
      </c>
      <c r="EB1" t="e">
        <f>AND('Risk LVG SRISK%'!N6,"AAAAAFPf/4M=")</f>
        <v>#VALUE!</v>
      </c>
      <c r="EC1" t="e">
        <f>AND('Risk LVG SRISK%'!O6,"AAAAAFPf/4Q=")</f>
        <v>#VALUE!</v>
      </c>
      <c r="ED1" t="e">
        <f>AND('Risk LVG SRISK%'!P6,"AAAAAFPf/4U=")</f>
        <v>#VALUE!</v>
      </c>
      <c r="EE1" t="e">
        <f>AND('Risk LVG SRISK%'!Q6,"AAAAAFPf/4Y=")</f>
        <v>#VALUE!</v>
      </c>
      <c r="EF1" t="e">
        <f>AND('Risk LVG SRISK%'!R6,"AAAAAFPf/4c=")</f>
        <v>#VALUE!</v>
      </c>
      <c r="EG1" t="e">
        <f>AND('Risk LVG SRISK%'!S6,"AAAAAFPf/4g=")</f>
        <v>#VALUE!</v>
      </c>
      <c r="EH1" t="e">
        <f>AND('Risk LVG SRISK%'!T6,"AAAAAFPf/4k=")</f>
        <v>#VALUE!</v>
      </c>
      <c r="EI1" t="e">
        <f>AND('Risk LVG SRISK%'!U6,"AAAAAFPf/4o=")</f>
        <v>#VALUE!</v>
      </c>
      <c r="EJ1" t="e">
        <f>AND('Risk LVG SRISK%'!V6,"AAAAAFPf/4s=")</f>
        <v>#VALUE!</v>
      </c>
      <c r="EK1" t="e">
        <f>AND('Risk LVG SRISK%'!W6,"AAAAAFPf/4w=")</f>
        <v>#VALUE!</v>
      </c>
      <c r="EL1">
        <f>IF('Risk LVG SRISK%'!7:7,"AAAAAFPf/40=",0)</f>
        <v>0</v>
      </c>
      <c r="EM1" t="e">
        <f>AND('Risk LVG SRISK%'!B7,"AAAAAFPf/44=")</f>
        <v>#VALUE!</v>
      </c>
      <c r="EN1" t="e">
        <f>AND('Risk LVG SRISK%'!C7,"AAAAAFPf/48=")</f>
        <v>#VALUE!</v>
      </c>
      <c r="EO1" t="e">
        <f>AND('Risk LVG SRISK%'!D7,"AAAAAFPf/5A=")</f>
        <v>#VALUE!</v>
      </c>
      <c r="EP1" t="e">
        <f>AND('Risk LVG SRISK%'!E7,"AAAAAFPf/5E=")</f>
        <v>#VALUE!</v>
      </c>
      <c r="EQ1" t="e">
        <f>AND('Risk LVG SRISK%'!F7,"AAAAAFPf/5I=")</f>
        <v>#VALUE!</v>
      </c>
      <c r="ER1" t="e">
        <f>AND('Risk LVG SRISK%'!G7,"AAAAAFPf/5M=")</f>
        <v>#VALUE!</v>
      </c>
      <c r="ES1" t="e">
        <f>AND('Risk LVG SRISK%'!H7,"AAAAAFPf/5Q=")</f>
        <v>#VALUE!</v>
      </c>
      <c r="ET1" t="e">
        <f>AND('Risk LVG SRISK%'!I7,"AAAAAFPf/5U=")</f>
        <v>#VALUE!</v>
      </c>
      <c r="EU1" t="e">
        <f>AND('Risk LVG SRISK%'!J7,"AAAAAFPf/5Y=")</f>
        <v>#VALUE!</v>
      </c>
      <c r="EV1" t="e">
        <f>AND('Risk LVG SRISK%'!K7,"AAAAAFPf/5c=")</f>
        <v>#VALUE!</v>
      </c>
      <c r="EW1" t="e">
        <f>AND('Risk LVG SRISK%'!L7,"AAAAAFPf/5g=")</f>
        <v>#VALUE!</v>
      </c>
      <c r="EX1" t="e">
        <f>AND('Risk LVG SRISK%'!M7,"AAAAAFPf/5k=")</f>
        <v>#VALUE!</v>
      </c>
      <c r="EY1" t="e">
        <f>AND('Risk LVG SRISK%'!N7,"AAAAAFPf/5o=")</f>
        <v>#VALUE!</v>
      </c>
      <c r="EZ1" t="e">
        <f>AND('Risk LVG SRISK%'!O7,"AAAAAFPf/5s=")</f>
        <v>#VALUE!</v>
      </c>
      <c r="FA1" t="e">
        <f>AND('Risk LVG SRISK%'!P7,"AAAAAFPf/5w=")</f>
        <v>#VALUE!</v>
      </c>
      <c r="FB1" t="e">
        <f>AND('Risk LVG SRISK%'!Q7,"AAAAAFPf/50=")</f>
        <v>#VALUE!</v>
      </c>
      <c r="FC1" t="e">
        <f>AND('Risk LVG SRISK%'!R7,"AAAAAFPf/54=")</f>
        <v>#VALUE!</v>
      </c>
      <c r="FD1" t="e">
        <f>AND('Risk LVG SRISK%'!S7,"AAAAAFPf/58=")</f>
        <v>#VALUE!</v>
      </c>
      <c r="FE1" t="e">
        <f>AND('Risk LVG SRISK%'!T7,"AAAAAFPf/6A=")</f>
        <v>#VALUE!</v>
      </c>
      <c r="FF1" t="e">
        <f>AND('Risk LVG SRISK%'!U7,"AAAAAFPf/6E=")</f>
        <v>#VALUE!</v>
      </c>
      <c r="FG1" t="e">
        <f>AND('Risk LVG SRISK%'!V7,"AAAAAFPf/6I=")</f>
        <v>#VALUE!</v>
      </c>
      <c r="FH1" t="e">
        <f>AND('Risk LVG SRISK%'!W7,"AAAAAFPf/6M=")</f>
        <v>#VALUE!</v>
      </c>
      <c r="FI1">
        <f>IF('Risk LVG SRISK%'!8:8,"AAAAAFPf/6Q=",0)</f>
        <v>0</v>
      </c>
      <c r="FJ1" t="e">
        <f>AND('Risk LVG SRISK%'!B8,"AAAAAFPf/6U=")</f>
        <v>#VALUE!</v>
      </c>
      <c r="FK1" t="e">
        <f>AND('Risk LVG SRISK%'!C8,"AAAAAFPf/6Y=")</f>
        <v>#VALUE!</v>
      </c>
      <c r="FL1" t="e">
        <f>AND('Risk LVG SRISK%'!D8,"AAAAAFPf/6c=")</f>
        <v>#VALUE!</v>
      </c>
      <c r="FM1" t="e">
        <f>AND('Risk LVG SRISK%'!E8,"AAAAAFPf/6g=")</f>
        <v>#VALUE!</v>
      </c>
      <c r="FN1" t="e">
        <f>AND('Risk LVG SRISK%'!F8,"AAAAAFPf/6k=")</f>
        <v>#VALUE!</v>
      </c>
      <c r="FO1" t="e">
        <f>AND('Risk LVG SRISK%'!G8,"AAAAAFPf/6o=")</f>
        <v>#VALUE!</v>
      </c>
      <c r="FP1" t="e">
        <f>AND('Risk LVG SRISK%'!H8,"AAAAAFPf/6s=")</f>
        <v>#VALUE!</v>
      </c>
      <c r="FQ1" t="e">
        <f>AND('Risk LVG SRISK%'!I8,"AAAAAFPf/6w=")</f>
        <v>#VALUE!</v>
      </c>
      <c r="FR1" t="e">
        <f>AND('Risk LVG SRISK%'!J8,"AAAAAFPf/60=")</f>
        <v>#VALUE!</v>
      </c>
      <c r="FS1" t="e">
        <f>AND('Risk LVG SRISK%'!K8,"AAAAAFPf/64=")</f>
        <v>#VALUE!</v>
      </c>
      <c r="FT1" t="e">
        <f>AND('Risk LVG SRISK%'!L8,"AAAAAFPf/68=")</f>
        <v>#VALUE!</v>
      </c>
      <c r="FU1" t="e">
        <f>AND('Risk LVG SRISK%'!M8,"AAAAAFPf/7A=")</f>
        <v>#VALUE!</v>
      </c>
      <c r="FV1" t="e">
        <f>AND('Risk LVG SRISK%'!N8,"AAAAAFPf/7E=")</f>
        <v>#VALUE!</v>
      </c>
      <c r="FW1" t="e">
        <f>AND('Risk LVG SRISK%'!O8,"AAAAAFPf/7I=")</f>
        <v>#VALUE!</v>
      </c>
      <c r="FX1" t="e">
        <f>AND('Risk LVG SRISK%'!P8,"AAAAAFPf/7M=")</f>
        <v>#VALUE!</v>
      </c>
      <c r="FY1" t="e">
        <f>AND('Risk LVG SRISK%'!Q8,"AAAAAFPf/7Q=")</f>
        <v>#VALUE!</v>
      </c>
      <c r="FZ1" t="e">
        <f>AND('Risk LVG SRISK%'!R8,"AAAAAFPf/7U=")</f>
        <v>#VALUE!</v>
      </c>
      <c r="GA1" t="e">
        <f>AND('Risk LVG SRISK%'!S8,"AAAAAFPf/7Y=")</f>
        <v>#VALUE!</v>
      </c>
      <c r="GB1" t="e">
        <f>AND('Risk LVG SRISK%'!T8,"AAAAAFPf/7c=")</f>
        <v>#VALUE!</v>
      </c>
      <c r="GC1" t="e">
        <f>AND('Risk LVG SRISK%'!U8,"AAAAAFPf/7g=")</f>
        <v>#VALUE!</v>
      </c>
      <c r="GD1" t="e">
        <f>AND('Risk LVG SRISK%'!V8,"AAAAAFPf/7k=")</f>
        <v>#VALUE!</v>
      </c>
      <c r="GE1" t="e">
        <f>AND('Risk LVG SRISK%'!W8,"AAAAAFPf/7o=")</f>
        <v>#VALUE!</v>
      </c>
      <c r="GF1">
        <f>IF('Risk LVG SRISK%'!9:9,"AAAAAFPf/7s=",0)</f>
        <v>0</v>
      </c>
      <c r="GG1" t="e">
        <f>AND('Risk LVG SRISK%'!B9,"AAAAAFPf/7w=")</f>
        <v>#VALUE!</v>
      </c>
      <c r="GH1" t="e">
        <f>AND('Risk LVG SRISK%'!C9,"AAAAAFPf/70=")</f>
        <v>#VALUE!</v>
      </c>
      <c r="GI1" t="e">
        <f>AND('Risk LVG SRISK%'!D9,"AAAAAFPf/74=")</f>
        <v>#VALUE!</v>
      </c>
      <c r="GJ1" t="e">
        <f>AND('Risk LVG SRISK%'!E9,"AAAAAFPf/78=")</f>
        <v>#VALUE!</v>
      </c>
      <c r="GK1" t="e">
        <f>AND('Risk LVG SRISK%'!F9,"AAAAAFPf/8A=")</f>
        <v>#VALUE!</v>
      </c>
      <c r="GL1" t="e">
        <f>AND('Risk LVG SRISK%'!G9,"AAAAAFPf/8E=")</f>
        <v>#VALUE!</v>
      </c>
      <c r="GM1" t="e">
        <f>AND('Risk LVG SRISK%'!H9,"AAAAAFPf/8I=")</f>
        <v>#VALUE!</v>
      </c>
      <c r="GN1" t="e">
        <f>AND('Risk LVG SRISK%'!I9,"AAAAAFPf/8M=")</f>
        <v>#VALUE!</v>
      </c>
      <c r="GO1" t="e">
        <f>AND('Risk LVG SRISK%'!J9,"AAAAAFPf/8Q=")</f>
        <v>#VALUE!</v>
      </c>
      <c r="GP1" t="e">
        <f>AND('Risk LVG SRISK%'!K9,"AAAAAFPf/8U=")</f>
        <v>#VALUE!</v>
      </c>
      <c r="GQ1" t="e">
        <f>AND('Risk LVG SRISK%'!L9,"AAAAAFPf/8Y=")</f>
        <v>#VALUE!</v>
      </c>
      <c r="GR1" t="e">
        <f>AND('Risk LVG SRISK%'!M9,"AAAAAFPf/8c=")</f>
        <v>#VALUE!</v>
      </c>
      <c r="GS1" t="e">
        <f>AND('Risk LVG SRISK%'!N9,"AAAAAFPf/8g=")</f>
        <v>#VALUE!</v>
      </c>
      <c r="GT1" t="e">
        <f>AND('Risk LVG SRISK%'!O9,"AAAAAFPf/8k=")</f>
        <v>#VALUE!</v>
      </c>
      <c r="GU1" t="e">
        <f>AND('Risk LVG SRISK%'!P9,"AAAAAFPf/8o=")</f>
        <v>#VALUE!</v>
      </c>
      <c r="GV1" t="e">
        <f>AND('Risk LVG SRISK%'!Q9,"AAAAAFPf/8s=")</f>
        <v>#VALUE!</v>
      </c>
      <c r="GW1" t="e">
        <f>AND('Risk LVG SRISK%'!R9,"AAAAAFPf/8w=")</f>
        <v>#VALUE!</v>
      </c>
      <c r="GX1" t="e">
        <f>AND('Risk LVG SRISK%'!S9,"AAAAAFPf/80=")</f>
        <v>#VALUE!</v>
      </c>
      <c r="GY1" t="e">
        <f>AND('Risk LVG SRISK%'!T9,"AAAAAFPf/84=")</f>
        <v>#VALUE!</v>
      </c>
      <c r="GZ1" t="e">
        <f>AND('Risk LVG SRISK%'!U9,"AAAAAFPf/88=")</f>
        <v>#VALUE!</v>
      </c>
      <c r="HA1" t="e">
        <f>AND('Risk LVG SRISK%'!V9,"AAAAAFPf/9A=")</f>
        <v>#VALUE!</v>
      </c>
      <c r="HB1" t="e">
        <f>AND('Risk LVG SRISK%'!W9,"AAAAAFPf/9E=")</f>
        <v>#VALUE!</v>
      </c>
      <c r="HC1">
        <f>IF('Risk LVG SRISK%'!10:10,"AAAAAFPf/9I=",0)</f>
        <v>0</v>
      </c>
      <c r="HD1" t="e">
        <f>AND('Risk LVG SRISK%'!B10,"AAAAAFPf/9M=")</f>
        <v>#VALUE!</v>
      </c>
      <c r="HE1" t="e">
        <f>AND('Risk LVG SRISK%'!C10,"AAAAAFPf/9Q=")</f>
        <v>#VALUE!</v>
      </c>
      <c r="HF1" t="e">
        <f>AND('Risk LVG SRISK%'!D10,"AAAAAFPf/9U=")</f>
        <v>#VALUE!</v>
      </c>
      <c r="HG1" t="e">
        <f>AND('Risk LVG SRISK%'!E10,"AAAAAFPf/9Y=")</f>
        <v>#VALUE!</v>
      </c>
      <c r="HH1" t="e">
        <f>AND('Risk LVG SRISK%'!F10,"AAAAAFPf/9c=")</f>
        <v>#VALUE!</v>
      </c>
      <c r="HI1" t="e">
        <f>AND('Risk LVG SRISK%'!G10,"AAAAAFPf/9g=")</f>
        <v>#VALUE!</v>
      </c>
      <c r="HJ1" t="e">
        <f>AND('Risk LVG SRISK%'!H10,"AAAAAFPf/9k=")</f>
        <v>#VALUE!</v>
      </c>
      <c r="HK1" t="e">
        <f>AND('Risk LVG SRISK%'!I10,"AAAAAFPf/9o=")</f>
        <v>#VALUE!</v>
      </c>
      <c r="HL1" t="e">
        <f>AND('Risk LVG SRISK%'!J10,"AAAAAFPf/9s=")</f>
        <v>#VALUE!</v>
      </c>
      <c r="HM1" t="e">
        <f>AND('Risk LVG SRISK%'!K10,"AAAAAFPf/9w=")</f>
        <v>#VALUE!</v>
      </c>
      <c r="HN1" t="e">
        <f>AND('Risk LVG SRISK%'!L10,"AAAAAFPf/90=")</f>
        <v>#VALUE!</v>
      </c>
      <c r="HO1" t="e">
        <f>AND('Risk LVG SRISK%'!M10,"AAAAAFPf/94=")</f>
        <v>#VALUE!</v>
      </c>
      <c r="HP1" t="e">
        <f>AND('Risk LVG SRISK%'!N10,"AAAAAFPf/98=")</f>
        <v>#VALUE!</v>
      </c>
      <c r="HQ1" t="e">
        <f>AND('Risk LVG SRISK%'!O10,"AAAAAFPf/+A=")</f>
        <v>#VALUE!</v>
      </c>
      <c r="HR1" t="e">
        <f>AND('Risk LVG SRISK%'!P10,"AAAAAFPf/+E=")</f>
        <v>#VALUE!</v>
      </c>
      <c r="HS1" t="e">
        <f>AND('Risk LVG SRISK%'!Q10,"AAAAAFPf/+I=")</f>
        <v>#VALUE!</v>
      </c>
      <c r="HT1" t="e">
        <f>AND('Risk LVG SRISK%'!R10,"AAAAAFPf/+M=")</f>
        <v>#VALUE!</v>
      </c>
      <c r="HU1" t="e">
        <f>AND('Risk LVG SRISK%'!S10,"AAAAAFPf/+Q=")</f>
        <v>#VALUE!</v>
      </c>
      <c r="HV1" t="e">
        <f>AND('Risk LVG SRISK%'!T10,"AAAAAFPf/+U=")</f>
        <v>#VALUE!</v>
      </c>
      <c r="HW1" t="e">
        <f>AND('Risk LVG SRISK%'!U10,"AAAAAFPf/+Y=")</f>
        <v>#VALUE!</v>
      </c>
      <c r="HX1" t="e">
        <f>AND('Risk LVG SRISK%'!V10,"AAAAAFPf/+c=")</f>
        <v>#VALUE!</v>
      </c>
      <c r="HY1" t="e">
        <f>AND('Risk LVG SRISK%'!W10,"AAAAAFPf/+g=")</f>
        <v>#VALUE!</v>
      </c>
      <c r="HZ1">
        <f>IF('Risk LVG SRISK%'!11:11,"AAAAAFPf/+k=",0)</f>
        <v>0</v>
      </c>
      <c r="IA1" t="e">
        <f>AND('Risk LVG SRISK%'!B11,"AAAAAFPf/+o=")</f>
        <v>#VALUE!</v>
      </c>
      <c r="IB1" t="e">
        <f>AND('Risk LVG SRISK%'!C11,"AAAAAFPf/+s=")</f>
        <v>#VALUE!</v>
      </c>
      <c r="IC1" t="e">
        <f>AND('Risk LVG SRISK%'!D11,"AAAAAFPf/+w=")</f>
        <v>#VALUE!</v>
      </c>
      <c r="ID1" t="e">
        <f>AND('Risk LVG SRISK%'!E11,"AAAAAFPf/+0=")</f>
        <v>#VALUE!</v>
      </c>
      <c r="IE1" t="e">
        <f>AND('Risk LVG SRISK%'!F11,"AAAAAFPf/+4=")</f>
        <v>#VALUE!</v>
      </c>
      <c r="IF1" t="e">
        <f>AND('Risk LVG SRISK%'!G11,"AAAAAFPf/+8=")</f>
        <v>#VALUE!</v>
      </c>
      <c r="IG1" t="e">
        <f>AND('Risk LVG SRISK%'!H11,"AAAAAFPf//A=")</f>
        <v>#VALUE!</v>
      </c>
      <c r="IH1" t="e">
        <f>AND('Risk LVG SRISK%'!I11,"AAAAAFPf//E=")</f>
        <v>#VALUE!</v>
      </c>
      <c r="II1" t="e">
        <f>AND('Risk LVG SRISK%'!J11,"AAAAAFPf//I=")</f>
        <v>#VALUE!</v>
      </c>
      <c r="IJ1" t="e">
        <f>AND('Risk LVG SRISK%'!K11,"AAAAAFPf//M=")</f>
        <v>#VALUE!</v>
      </c>
      <c r="IK1" t="e">
        <f>AND('Risk LVG SRISK%'!L11,"AAAAAFPf//Q=")</f>
        <v>#VALUE!</v>
      </c>
      <c r="IL1" t="e">
        <f>AND('Risk LVG SRISK%'!M11,"AAAAAFPf//U=")</f>
        <v>#VALUE!</v>
      </c>
      <c r="IM1" t="e">
        <f>AND('Risk LVG SRISK%'!N11,"AAAAAFPf//Y=")</f>
        <v>#VALUE!</v>
      </c>
      <c r="IN1" t="e">
        <f>AND('Risk LVG SRISK%'!O11,"AAAAAFPf//c=")</f>
        <v>#VALUE!</v>
      </c>
      <c r="IO1" t="e">
        <f>AND('Risk LVG SRISK%'!P11,"AAAAAFPf//g=")</f>
        <v>#VALUE!</v>
      </c>
      <c r="IP1" t="e">
        <f>AND('Risk LVG SRISK%'!Q11,"AAAAAFPf//k=")</f>
        <v>#VALUE!</v>
      </c>
      <c r="IQ1" t="e">
        <f>AND('Risk LVG SRISK%'!R11,"AAAAAFPf//o=")</f>
        <v>#VALUE!</v>
      </c>
      <c r="IR1" t="e">
        <f>AND('Risk LVG SRISK%'!S11,"AAAAAFPf//s=")</f>
        <v>#VALUE!</v>
      </c>
      <c r="IS1" t="e">
        <f>AND('Risk LVG SRISK%'!T11,"AAAAAFPf//w=")</f>
        <v>#VALUE!</v>
      </c>
      <c r="IT1" t="e">
        <f>AND('Risk LVG SRISK%'!U11,"AAAAAFPf//0=")</f>
        <v>#VALUE!</v>
      </c>
      <c r="IU1" t="e">
        <f>AND('Risk LVG SRISK%'!V11,"AAAAAFPf//4=")</f>
        <v>#VALUE!</v>
      </c>
      <c r="IV1" t="e">
        <f>AND('Risk LVG SRISK%'!W11,"AAAAAFPf//8=")</f>
        <v>#VALUE!</v>
      </c>
    </row>
    <row r="2" spans="1:256" x14ac:dyDescent="0.25">
      <c r="A2">
        <f>IF('Risk LVG SRISK%'!12:12,"AAAAAFR/7wA=",0)</f>
        <v>0</v>
      </c>
      <c r="B2" t="e">
        <f>AND('Risk LVG SRISK%'!B12,"AAAAAFR/7wE=")</f>
        <v>#VALUE!</v>
      </c>
      <c r="C2" t="e">
        <f>AND('Risk LVG SRISK%'!C12,"AAAAAFR/7wI=")</f>
        <v>#VALUE!</v>
      </c>
      <c r="D2" t="e">
        <f>AND('Risk LVG SRISK%'!D12,"AAAAAFR/7wM=")</f>
        <v>#VALUE!</v>
      </c>
      <c r="E2" t="e">
        <f>AND('Risk LVG SRISK%'!E12,"AAAAAFR/7wQ=")</f>
        <v>#VALUE!</v>
      </c>
      <c r="F2" t="e">
        <f>AND('Risk LVG SRISK%'!F12,"AAAAAFR/7wU=")</f>
        <v>#VALUE!</v>
      </c>
      <c r="G2" t="e">
        <f>AND('Risk LVG SRISK%'!G12,"AAAAAFR/7wY=")</f>
        <v>#VALUE!</v>
      </c>
      <c r="H2" t="e">
        <f>AND('Risk LVG SRISK%'!H12,"AAAAAFR/7wc=")</f>
        <v>#VALUE!</v>
      </c>
      <c r="I2" t="e">
        <f>AND('Risk LVG SRISK%'!I12,"AAAAAFR/7wg=")</f>
        <v>#VALUE!</v>
      </c>
      <c r="J2" t="e">
        <f>AND('Risk LVG SRISK%'!J12,"AAAAAFR/7wk=")</f>
        <v>#VALUE!</v>
      </c>
      <c r="K2" t="e">
        <f>AND('Risk LVG SRISK%'!K12,"AAAAAFR/7wo=")</f>
        <v>#VALUE!</v>
      </c>
      <c r="L2" t="e">
        <f>AND('Risk LVG SRISK%'!L12,"AAAAAFR/7ws=")</f>
        <v>#VALUE!</v>
      </c>
      <c r="M2" t="e">
        <f>AND('Risk LVG SRISK%'!M12,"AAAAAFR/7ww=")</f>
        <v>#VALUE!</v>
      </c>
      <c r="N2" t="e">
        <f>AND('Risk LVG SRISK%'!N12,"AAAAAFR/7w0=")</f>
        <v>#VALUE!</v>
      </c>
      <c r="O2" t="e">
        <f>AND('Risk LVG SRISK%'!O12,"AAAAAFR/7w4=")</f>
        <v>#VALUE!</v>
      </c>
      <c r="P2" t="e">
        <f>AND('Risk LVG SRISK%'!P12,"AAAAAFR/7w8=")</f>
        <v>#VALUE!</v>
      </c>
      <c r="Q2" t="e">
        <f>AND('Risk LVG SRISK%'!Q12,"AAAAAFR/7xA=")</f>
        <v>#VALUE!</v>
      </c>
      <c r="R2" t="e">
        <f>AND('Risk LVG SRISK%'!R12,"AAAAAFR/7xE=")</f>
        <v>#VALUE!</v>
      </c>
      <c r="S2" t="e">
        <f>AND('Risk LVG SRISK%'!S12,"AAAAAFR/7xI=")</f>
        <v>#VALUE!</v>
      </c>
      <c r="T2" t="e">
        <f>AND('Risk LVG SRISK%'!T12,"AAAAAFR/7xM=")</f>
        <v>#VALUE!</v>
      </c>
      <c r="U2" t="e">
        <f>AND('Risk LVG SRISK%'!U12,"AAAAAFR/7xQ=")</f>
        <v>#VALUE!</v>
      </c>
      <c r="V2" t="e">
        <f>AND('Risk LVG SRISK%'!V12,"AAAAAFR/7xU=")</f>
        <v>#VALUE!</v>
      </c>
      <c r="W2" t="e">
        <f>AND('Risk LVG SRISK%'!W12,"AAAAAFR/7xY=")</f>
        <v>#VALUE!</v>
      </c>
      <c r="X2">
        <f>IF('Risk LVG SRISK%'!13:13,"AAAAAFR/7xc=",0)</f>
        <v>0</v>
      </c>
      <c r="Y2" t="e">
        <f>AND('Risk LVG SRISK%'!B13,"AAAAAFR/7xg=")</f>
        <v>#VALUE!</v>
      </c>
      <c r="Z2" t="e">
        <f>AND('Risk LVG SRISK%'!C13,"AAAAAFR/7xk=")</f>
        <v>#VALUE!</v>
      </c>
      <c r="AA2" t="e">
        <f>AND('Risk LVG SRISK%'!D13,"AAAAAFR/7xo=")</f>
        <v>#VALUE!</v>
      </c>
      <c r="AB2" t="e">
        <f>AND('Risk LVG SRISK%'!E13,"AAAAAFR/7xs=")</f>
        <v>#VALUE!</v>
      </c>
      <c r="AC2" t="e">
        <f>AND('Risk LVG SRISK%'!F13,"AAAAAFR/7xw=")</f>
        <v>#VALUE!</v>
      </c>
      <c r="AD2" t="e">
        <f>AND('Risk LVG SRISK%'!G13,"AAAAAFR/7x0=")</f>
        <v>#VALUE!</v>
      </c>
      <c r="AE2" t="e">
        <f>AND('Risk LVG SRISK%'!H13,"AAAAAFR/7x4=")</f>
        <v>#VALUE!</v>
      </c>
      <c r="AF2" t="e">
        <f>AND('Risk LVG SRISK%'!I13,"AAAAAFR/7x8=")</f>
        <v>#VALUE!</v>
      </c>
      <c r="AG2" t="e">
        <f>AND('Risk LVG SRISK%'!J13,"AAAAAFR/7yA=")</f>
        <v>#VALUE!</v>
      </c>
      <c r="AH2" t="e">
        <f>AND('Risk LVG SRISK%'!K13,"AAAAAFR/7yE=")</f>
        <v>#VALUE!</v>
      </c>
      <c r="AI2" t="e">
        <f>AND('Risk LVG SRISK%'!L13,"AAAAAFR/7yI=")</f>
        <v>#VALUE!</v>
      </c>
      <c r="AJ2" t="e">
        <f>AND('Risk LVG SRISK%'!M13,"AAAAAFR/7yM=")</f>
        <v>#VALUE!</v>
      </c>
      <c r="AK2" t="e">
        <f>AND('Risk LVG SRISK%'!N13,"AAAAAFR/7yQ=")</f>
        <v>#VALUE!</v>
      </c>
      <c r="AL2" t="e">
        <f>AND('Risk LVG SRISK%'!O13,"AAAAAFR/7yU=")</f>
        <v>#VALUE!</v>
      </c>
      <c r="AM2" t="e">
        <f>AND('Risk LVG SRISK%'!P13,"AAAAAFR/7yY=")</f>
        <v>#VALUE!</v>
      </c>
      <c r="AN2" t="e">
        <f>AND('Risk LVG SRISK%'!Q13,"AAAAAFR/7yc=")</f>
        <v>#VALUE!</v>
      </c>
      <c r="AO2" t="e">
        <f>AND('Risk LVG SRISK%'!R13,"AAAAAFR/7yg=")</f>
        <v>#VALUE!</v>
      </c>
      <c r="AP2" t="e">
        <f>AND('Risk LVG SRISK%'!S13,"AAAAAFR/7yk=")</f>
        <v>#VALUE!</v>
      </c>
      <c r="AQ2" t="e">
        <f>AND('Risk LVG SRISK%'!T13,"AAAAAFR/7yo=")</f>
        <v>#VALUE!</v>
      </c>
      <c r="AR2" t="e">
        <f>AND('Risk LVG SRISK%'!U13,"AAAAAFR/7ys=")</f>
        <v>#VALUE!</v>
      </c>
      <c r="AS2" t="e">
        <f>AND('Risk LVG SRISK%'!V13,"AAAAAFR/7yw=")</f>
        <v>#VALUE!</v>
      </c>
      <c r="AT2" t="e">
        <f>AND('Risk LVG SRISK%'!W13,"AAAAAFR/7y0=")</f>
        <v>#VALUE!</v>
      </c>
      <c r="AU2">
        <f>IF('Risk LVG SRISK%'!14:14,"AAAAAFR/7y4=",0)</f>
        <v>0</v>
      </c>
      <c r="AV2" t="e">
        <f>AND('Risk LVG SRISK%'!B14,"AAAAAFR/7y8=")</f>
        <v>#VALUE!</v>
      </c>
      <c r="AW2" t="e">
        <f>AND('Risk LVG SRISK%'!C14,"AAAAAFR/7zA=")</f>
        <v>#VALUE!</v>
      </c>
      <c r="AX2" t="e">
        <f>AND('Risk LVG SRISK%'!D14,"AAAAAFR/7zE=")</f>
        <v>#VALUE!</v>
      </c>
      <c r="AY2" t="e">
        <f>AND('Risk LVG SRISK%'!E14,"AAAAAFR/7zI=")</f>
        <v>#VALUE!</v>
      </c>
      <c r="AZ2" t="e">
        <f>AND('Risk LVG SRISK%'!F14,"AAAAAFR/7zM=")</f>
        <v>#VALUE!</v>
      </c>
      <c r="BA2" t="e">
        <f>AND('Risk LVG SRISK%'!G14,"AAAAAFR/7zQ=")</f>
        <v>#VALUE!</v>
      </c>
      <c r="BB2" t="e">
        <f>AND('Risk LVG SRISK%'!H14,"AAAAAFR/7zU=")</f>
        <v>#VALUE!</v>
      </c>
      <c r="BC2" t="e">
        <f>AND('Risk LVG SRISK%'!I14,"AAAAAFR/7zY=")</f>
        <v>#VALUE!</v>
      </c>
      <c r="BD2" t="e">
        <f>AND('Risk LVG SRISK%'!J14,"AAAAAFR/7zc=")</f>
        <v>#VALUE!</v>
      </c>
      <c r="BE2" t="e">
        <f>AND('Risk LVG SRISK%'!K14,"AAAAAFR/7zg=")</f>
        <v>#VALUE!</v>
      </c>
      <c r="BF2" t="e">
        <f>AND('Risk LVG SRISK%'!L14,"AAAAAFR/7zk=")</f>
        <v>#VALUE!</v>
      </c>
      <c r="BG2" t="e">
        <f>AND('Risk LVG SRISK%'!M14,"AAAAAFR/7zo=")</f>
        <v>#VALUE!</v>
      </c>
      <c r="BH2" t="e">
        <f>AND('Risk LVG SRISK%'!N14,"AAAAAFR/7zs=")</f>
        <v>#VALUE!</v>
      </c>
      <c r="BI2" t="e">
        <f>AND('Risk LVG SRISK%'!O14,"AAAAAFR/7zw=")</f>
        <v>#VALUE!</v>
      </c>
      <c r="BJ2" t="e">
        <f>AND('Risk LVG SRISK%'!P14,"AAAAAFR/7z0=")</f>
        <v>#VALUE!</v>
      </c>
      <c r="BK2" t="e">
        <f>AND('Risk LVG SRISK%'!Q14,"AAAAAFR/7z4=")</f>
        <v>#VALUE!</v>
      </c>
      <c r="BL2" t="e">
        <f>AND('Risk LVG SRISK%'!R14,"AAAAAFR/7z8=")</f>
        <v>#VALUE!</v>
      </c>
      <c r="BM2" t="e">
        <f>AND('Risk LVG SRISK%'!S14,"AAAAAFR/70A=")</f>
        <v>#VALUE!</v>
      </c>
      <c r="BN2" t="e">
        <f>AND('Risk LVG SRISK%'!T14,"AAAAAFR/70E=")</f>
        <v>#VALUE!</v>
      </c>
      <c r="BO2" t="e">
        <f>AND('Risk LVG SRISK%'!U14,"AAAAAFR/70I=")</f>
        <v>#VALUE!</v>
      </c>
      <c r="BP2" t="e">
        <f>AND('Risk LVG SRISK%'!V14,"AAAAAFR/70M=")</f>
        <v>#VALUE!</v>
      </c>
      <c r="BQ2" t="e">
        <f>AND('Risk LVG SRISK%'!W14,"AAAAAFR/70Q=")</f>
        <v>#VALUE!</v>
      </c>
      <c r="BR2">
        <f>IF('Risk LVG SRISK%'!15:15,"AAAAAFR/70U=",0)</f>
        <v>0</v>
      </c>
      <c r="BS2" t="e">
        <f>AND('Risk LVG SRISK%'!B15,"AAAAAFR/70Y=")</f>
        <v>#VALUE!</v>
      </c>
      <c r="BT2" t="e">
        <f>AND('Risk LVG SRISK%'!C15,"AAAAAFR/70c=")</f>
        <v>#VALUE!</v>
      </c>
      <c r="BU2" t="e">
        <f>AND('Risk LVG SRISK%'!D15,"AAAAAFR/70g=")</f>
        <v>#VALUE!</v>
      </c>
      <c r="BV2" t="e">
        <f>AND('Risk LVG SRISK%'!E15,"AAAAAFR/70k=")</f>
        <v>#VALUE!</v>
      </c>
      <c r="BW2" t="e">
        <f>AND('Risk LVG SRISK%'!F15,"AAAAAFR/70o=")</f>
        <v>#VALUE!</v>
      </c>
      <c r="BX2" t="e">
        <f>AND('Risk LVG SRISK%'!G15,"AAAAAFR/70s=")</f>
        <v>#VALUE!</v>
      </c>
      <c r="BY2" t="e">
        <f>AND('Risk LVG SRISK%'!H15,"AAAAAFR/70w=")</f>
        <v>#VALUE!</v>
      </c>
      <c r="BZ2" t="e">
        <f>AND('Risk LVG SRISK%'!I15,"AAAAAFR/700=")</f>
        <v>#VALUE!</v>
      </c>
      <c r="CA2" t="e">
        <f>AND('Risk LVG SRISK%'!J15,"AAAAAFR/704=")</f>
        <v>#VALUE!</v>
      </c>
      <c r="CB2" t="e">
        <f>AND('Risk LVG SRISK%'!K15,"AAAAAFR/708=")</f>
        <v>#VALUE!</v>
      </c>
      <c r="CC2" t="e">
        <f>AND('Risk LVG SRISK%'!L15,"AAAAAFR/71A=")</f>
        <v>#VALUE!</v>
      </c>
      <c r="CD2" t="e">
        <f>AND('Risk LVG SRISK%'!M15,"AAAAAFR/71E=")</f>
        <v>#VALUE!</v>
      </c>
      <c r="CE2" t="e">
        <f>AND('Risk LVG SRISK%'!N15,"AAAAAFR/71I=")</f>
        <v>#VALUE!</v>
      </c>
      <c r="CF2" t="e">
        <f>AND('Risk LVG SRISK%'!O15,"AAAAAFR/71M=")</f>
        <v>#VALUE!</v>
      </c>
      <c r="CG2" t="e">
        <f>AND('Risk LVG SRISK%'!P15,"AAAAAFR/71Q=")</f>
        <v>#VALUE!</v>
      </c>
      <c r="CH2" t="e">
        <f>AND('Risk LVG SRISK%'!Q15,"AAAAAFR/71U=")</f>
        <v>#VALUE!</v>
      </c>
      <c r="CI2" t="e">
        <f>AND('Risk LVG SRISK%'!R15,"AAAAAFR/71Y=")</f>
        <v>#VALUE!</v>
      </c>
      <c r="CJ2" t="e">
        <f>AND('Risk LVG SRISK%'!S15,"AAAAAFR/71c=")</f>
        <v>#VALUE!</v>
      </c>
      <c r="CK2" t="e">
        <f>AND('Risk LVG SRISK%'!T15,"AAAAAFR/71g=")</f>
        <v>#VALUE!</v>
      </c>
      <c r="CL2" t="e">
        <f>AND('Risk LVG SRISK%'!U15,"AAAAAFR/71k=")</f>
        <v>#VALUE!</v>
      </c>
      <c r="CM2" t="e">
        <f>AND('Risk LVG SRISK%'!V15,"AAAAAFR/71o=")</f>
        <v>#VALUE!</v>
      </c>
      <c r="CN2" t="e">
        <f>AND('Risk LVG SRISK%'!W15,"AAAAAFR/71s=")</f>
        <v>#VALUE!</v>
      </c>
      <c r="CO2">
        <f>IF('Risk LVG SRISK%'!16:16,"AAAAAFR/71w=",0)</f>
        <v>0</v>
      </c>
      <c r="CP2" t="e">
        <f>AND('Risk LVG SRISK%'!B16,"AAAAAFR/710=")</f>
        <v>#VALUE!</v>
      </c>
      <c r="CQ2" t="e">
        <f>AND('Risk LVG SRISK%'!C16,"AAAAAFR/714=")</f>
        <v>#VALUE!</v>
      </c>
      <c r="CR2" t="e">
        <f>AND('Risk LVG SRISK%'!D16,"AAAAAFR/718=")</f>
        <v>#VALUE!</v>
      </c>
      <c r="CS2" t="e">
        <f>AND('Risk LVG SRISK%'!E16,"AAAAAFR/72A=")</f>
        <v>#VALUE!</v>
      </c>
      <c r="CT2" t="e">
        <f>AND('Risk LVG SRISK%'!F16,"AAAAAFR/72E=")</f>
        <v>#VALUE!</v>
      </c>
      <c r="CU2" t="e">
        <f>AND('Risk LVG SRISK%'!G16,"AAAAAFR/72I=")</f>
        <v>#VALUE!</v>
      </c>
      <c r="CV2" t="e">
        <f>AND('Risk LVG SRISK%'!H16,"AAAAAFR/72M=")</f>
        <v>#VALUE!</v>
      </c>
      <c r="CW2" t="e">
        <f>AND('Risk LVG SRISK%'!I16,"AAAAAFR/72Q=")</f>
        <v>#VALUE!</v>
      </c>
      <c r="CX2" t="e">
        <f>AND('Risk LVG SRISK%'!J16,"AAAAAFR/72U=")</f>
        <v>#VALUE!</v>
      </c>
      <c r="CY2" t="e">
        <f>AND('Risk LVG SRISK%'!K16,"AAAAAFR/72Y=")</f>
        <v>#VALUE!</v>
      </c>
      <c r="CZ2" t="e">
        <f>AND('Risk LVG SRISK%'!L16,"AAAAAFR/72c=")</f>
        <v>#VALUE!</v>
      </c>
      <c r="DA2" t="e">
        <f>AND('Risk LVG SRISK%'!M16,"AAAAAFR/72g=")</f>
        <v>#VALUE!</v>
      </c>
      <c r="DB2" t="e">
        <f>AND('Risk LVG SRISK%'!N16,"AAAAAFR/72k=")</f>
        <v>#VALUE!</v>
      </c>
      <c r="DC2" t="e">
        <f>AND('Risk LVG SRISK%'!O16,"AAAAAFR/72o=")</f>
        <v>#VALUE!</v>
      </c>
      <c r="DD2" t="e">
        <f>AND('Risk LVG SRISK%'!P16,"AAAAAFR/72s=")</f>
        <v>#VALUE!</v>
      </c>
      <c r="DE2" t="e">
        <f>AND('Risk LVG SRISK%'!Q16,"AAAAAFR/72w=")</f>
        <v>#VALUE!</v>
      </c>
      <c r="DF2" t="e">
        <f>AND('Risk LVG SRISK%'!R16,"AAAAAFR/720=")</f>
        <v>#VALUE!</v>
      </c>
      <c r="DG2" t="e">
        <f>AND('Risk LVG SRISK%'!S16,"AAAAAFR/724=")</f>
        <v>#VALUE!</v>
      </c>
      <c r="DH2" t="e">
        <f>AND('Risk LVG SRISK%'!T16,"AAAAAFR/728=")</f>
        <v>#VALUE!</v>
      </c>
      <c r="DI2" t="e">
        <f>AND('Risk LVG SRISK%'!U16,"AAAAAFR/73A=")</f>
        <v>#VALUE!</v>
      </c>
      <c r="DJ2" t="e">
        <f>AND('Risk LVG SRISK%'!V16,"AAAAAFR/73E=")</f>
        <v>#VALUE!</v>
      </c>
      <c r="DK2" t="e">
        <f>AND('Risk LVG SRISK%'!W16,"AAAAAFR/73I=")</f>
        <v>#VALUE!</v>
      </c>
      <c r="DL2">
        <f>IF('Risk LVG SRISK%'!17:17,"AAAAAFR/73M=",0)</f>
        <v>0</v>
      </c>
      <c r="DM2">
        <f>IF('Risk LVG SRISK%'!18:18,"AAAAAFR/73Q=",0)</f>
        <v>0</v>
      </c>
      <c r="DN2">
        <f>IF('Risk LVG SRISK%'!19:19,"AAAAAFR/73U=",0)</f>
        <v>0</v>
      </c>
      <c r="DO2">
        <f>IF('Risk LVG SRISK%'!20:20,"AAAAAFR/73Y=",0)</f>
        <v>0</v>
      </c>
      <c r="DP2">
        <f>IF('Risk LVG SRISK%'!21:21,"AAAAAFR/73c=",0)</f>
        <v>0</v>
      </c>
      <c r="DQ2">
        <f>IF('Risk LVG SRISK%'!22:22,"AAAAAFR/73g=",0)</f>
        <v>0</v>
      </c>
      <c r="DR2">
        <f>IF('Risk LVG SRISK%'!23:23,"AAAAAFR/73k=",0)</f>
        <v>0</v>
      </c>
      <c r="DS2">
        <f>IF('Risk LVG SRISK%'!24:24,"AAAAAFR/73o=",0)</f>
        <v>0</v>
      </c>
      <c r="DT2">
        <f>IF('Risk LVG SRISK%'!25:25,"AAAAAFR/73s=",0)</f>
        <v>0</v>
      </c>
      <c r="DU2">
        <f>IF('Risk LVG SRISK%'!26:26,"AAAAAFR/73w=",0)</f>
        <v>0</v>
      </c>
      <c r="DV2">
        <f>IF('Risk LVG SRISK%'!27:27,"AAAAAFR/730=",0)</f>
        <v>0</v>
      </c>
      <c r="DW2">
        <f>IF('Risk LVG SRISK%'!28:28,"AAAAAFR/734=",0)</f>
        <v>0</v>
      </c>
      <c r="DX2">
        <f>IF('Risk LVG SRISK%'!29:29,"AAAAAFR/738=",0)</f>
        <v>0</v>
      </c>
      <c r="DY2">
        <f>IF('Risk LVG SRISK%'!30:30,"AAAAAFR/74A=",0)</f>
        <v>0</v>
      </c>
      <c r="DZ2">
        <f>IF('Risk LVG SRISK%'!31:31,"AAAAAFR/74E=",0)</f>
        <v>0</v>
      </c>
      <c r="EA2">
        <f>IF('Risk LVG SRISK%'!32:32,"AAAAAFR/74I=",0)</f>
        <v>0</v>
      </c>
      <c r="EB2">
        <f>IF('Risk LVG SRISK%'!33:33,"AAAAAFR/74M=",0)</f>
        <v>0</v>
      </c>
      <c r="EC2">
        <f>IF('Risk LVG SRISK%'!A:A,"AAAAAFR/74Q=",0)</f>
        <v>0</v>
      </c>
      <c r="ED2">
        <f>IF('Risk LVG SRISK%'!B:B,"AAAAAFR/74U=",0)</f>
        <v>0</v>
      </c>
      <c r="EE2">
        <f>IF('Risk LVG SRISK%'!C:C,"AAAAAFR/74Y=",0)</f>
        <v>0</v>
      </c>
      <c r="EF2">
        <f>IF('Risk LVG SRISK%'!D:D,"AAAAAFR/74c=",0)</f>
        <v>0</v>
      </c>
      <c r="EG2" t="e">
        <f>IF('Risk LVG SRISK%'!E:E,"AAAAAFR/74g=",0)</f>
        <v>#VALUE!</v>
      </c>
      <c r="EH2" t="e">
        <f>IF('Risk LVG SRISK%'!F:F,"AAAAAFR/74k=",0)</f>
        <v>#VALUE!</v>
      </c>
      <c r="EI2">
        <f>IF('Risk LVG SRISK%'!G:G,"AAAAAFR/74o=",0)</f>
        <v>0</v>
      </c>
      <c r="EJ2">
        <f>IF('Risk LVG SRISK%'!H:H,"AAAAAFR/74s=",0)</f>
        <v>0</v>
      </c>
      <c r="EK2">
        <f>IF('Risk LVG SRISK%'!I:I,"AAAAAFR/74w=",0)</f>
        <v>0</v>
      </c>
      <c r="EL2">
        <f>IF('Risk LVG SRISK%'!J:J,"AAAAAFR/740=",0)</f>
        <v>0</v>
      </c>
      <c r="EM2">
        <f>IF('Risk LVG SRISK%'!K:K,"AAAAAFR/744=",0)</f>
        <v>0</v>
      </c>
      <c r="EN2">
        <f>IF('Risk LVG SRISK%'!L:L,"AAAAAFR/748=",0)</f>
        <v>0</v>
      </c>
      <c r="EO2">
        <f>IF('Risk LVG SRISK%'!M:M,"AAAAAFR/75A=",0)</f>
        <v>0</v>
      </c>
      <c r="EP2">
        <f>IF('Risk LVG SRISK%'!N:N,"AAAAAFR/75E=",0)</f>
        <v>0</v>
      </c>
      <c r="EQ2">
        <f>IF('Risk LVG SRISK%'!O:O,"AAAAAFR/75I=",0)</f>
        <v>0</v>
      </c>
      <c r="ER2">
        <f>IF('Risk LVG SRISK%'!P:P,"AAAAAFR/75M=",0)</f>
        <v>0</v>
      </c>
      <c r="ES2">
        <f>IF('Risk LVG SRISK%'!Q:Q,"AAAAAFR/75Q=",0)</f>
        <v>0</v>
      </c>
      <c r="ET2">
        <f>IF('Risk LVG SRISK%'!R:R,"AAAAAFR/75U=",0)</f>
        <v>0</v>
      </c>
      <c r="EU2">
        <f>IF('Risk LVG SRISK%'!S:S,"AAAAAFR/75Y=",0)</f>
        <v>0</v>
      </c>
      <c r="EV2">
        <f>IF('Risk LVG SRISK%'!T:T,"AAAAAFR/75c=",0)</f>
        <v>0</v>
      </c>
      <c r="EW2">
        <f>IF('Risk LVG SRISK%'!U:U,"AAAAAFR/75g=",0)</f>
        <v>0</v>
      </c>
      <c r="EX2">
        <f>IF('Risk LVG SRISK%'!V:V,"AAAAAFR/75k=",0)</f>
        <v>0</v>
      </c>
      <c r="EY2">
        <f>IF('Risk LVG SRISK%'!W:W,"AAAAAFR/75o=",0)</f>
        <v>0</v>
      </c>
      <c r="EZ2">
        <f>IF('Risk MES SRISK%'!1:1,"AAAAAFR/75s=",0)</f>
        <v>0</v>
      </c>
      <c r="FA2" t="e">
        <f>AND('Risk MES SRISK%'!B1,"AAAAAFR/75w=")</f>
        <v>#VALUE!</v>
      </c>
      <c r="FB2" t="e">
        <f>AND('Risk MES SRISK%'!C1,"AAAAAFR/750=")</f>
        <v>#VALUE!</v>
      </c>
      <c r="FC2" t="e">
        <f>AND('Risk MES SRISK%'!D1,"AAAAAFR/754=")</f>
        <v>#VALUE!</v>
      </c>
      <c r="FD2" t="e">
        <f>AND('Risk MES SRISK%'!E1,"AAAAAFR/758=")</f>
        <v>#VALUE!</v>
      </c>
      <c r="FE2" t="e">
        <f>AND('Risk MES SRISK%'!F1,"AAAAAFR/76A=")</f>
        <v>#VALUE!</v>
      </c>
      <c r="FF2" t="e">
        <f>AND('Risk MES SRISK%'!G1,"AAAAAFR/76E=")</f>
        <v>#VALUE!</v>
      </c>
      <c r="FG2" t="e">
        <f>AND('Risk MES SRISK%'!H1,"AAAAAFR/76I=")</f>
        <v>#VALUE!</v>
      </c>
      <c r="FH2" t="e">
        <f>AND('Risk MES SRISK%'!I1,"AAAAAFR/76M=")</f>
        <v>#VALUE!</v>
      </c>
      <c r="FI2" t="e">
        <f>AND('Risk MES SRISK%'!J1,"AAAAAFR/76Q=")</f>
        <v>#VALUE!</v>
      </c>
      <c r="FJ2" t="e">
        <f>AND('Risk MES SRISK%'!K1,"AAAAAFR/76U=")</f>
        <v>#VALUE!</v>
      </c>
      <c r="FK2" t="e">
        <f>AND('Risk MES SRISK%'!L1,"AAAAAFR/76Y=")</f>
        <v>#VALUE!</v>
      </c>
      <c r="FL2" t="e">
        <f>AND('Risk MES SRISK%'!M1,"AAAAAFR/76c=")</f>
        <v>#VALUE!</v>
      </c>
      <c r="FM2" t="e">
        <f>AND('Risk MES SRISK%'!N1,"AAAAAFR/76g=")</f>
        <v>#VALUE!</v>
      </c>
      <c r="FN2" t="e">
        <f>AND('Risk MES SRISK%'!O1,"AAAAAFR/76k=")</f>
        <v>#VALUE!</v>
      </c>
      <c r="FO2" t="e">
        <f>AND('Risk MES SRISK%'!P1,"AAAAAFR/76o=")</f>
        <v>#VALUE!</v>
      </c>
      <c r="FP2" t="e">
        <f>AND('Risk MES SRISK%'!Q1,"AAAAAFR/76s=")</f>
        <v>#VALUE!</v>
      </c>
      <c r="FQ2" t="e">
        <f>AND('Risk MES SRISK%'!R1,"AAAAAFR/76w=")</f>
        <v>#VALUE!</v>
      </c>
      <c r="FR2" t="e">
        <f>AND('Risk MES SRISK%'!S1,"AAAAAFR/760=")</f>
        <v>#VALUE!</v>
      </c>
      <c r="FS2" t="e">
        <f>AND('Risk MES SRISK%'!T1,"AAAAAFR/764=")</f>
        <v>#VALUE!</v>
      </c>
      <c r="FT2" t="e">
        <f>AND('Risk MES SRISK%'!U1,"AAAAAFR/768=")</f>
        <v>#VALUE!</v>
      </c>
      <c r="FU2" t="e">
        <f>AND('Risk MES SRISK%'!V1,"AAAAAFR/77A=")</f>
        <v>#VALUE!</v>
      </c>
      <c r="FV2" t="e">
        <f>AND('Risk MES SRISK%'!W1,"AAAAAFR/77E=")</f>
        <v>#VALUE!</v>
      </c>
      <c r="FW2">
        <f>IF('Risk MES SRISK%'!2:2,"AAAAAFR/77I=",0)</f>
        <v>0</v>
      </c>
      <c r="FX2" t="e">
        <f>AND('Risk MES SRISK%'!B2,"AAAAAFR/77M=")</f>
        <v>#VALUE!</v>
      </c>
      <c r="FY2" t="e">
        <f>AND('Risk MES SRISK%'!C2,"AAAAAFR/77Q=")</f>
        <v>#VALUE!</v>
      </c>
      <c r="FZ2" t="e">
        <f>AND('Risk MES SRISK%'!D2,"AAAAAFR/77U=")</f>
        <v>#VALUE!</v>
      </c>
      <c r="GA2" t="e">
        <f>AND('Risk MES SRISK%'!E2,"AAAAAFR/77Y=")</f>
        <v>#VALUE!</v>
      </c>
      <c r="GB2" t="e">
        <f>AND('Risk MES SRISK%'!F2,"AAAAAFR/77c=")</f>
        <v>#VALUE!</v>
      </c>
      <c r="GC2" t="e">
        <f>AND('Risk MES SRISK%'!G2,"AAAAAFR/77g=")</f>
        <v>#VALUE!</v>
      </c>
      <c r="GD2" t="e">
        <f>AND('Risk MES SRISK%'!H2,"AAAAAFR/77k=")</f>
        <v>#VALUE!</v>
      </c>
      <c r="GE2" t="e">
        <f>AND('Risk MES SRISK%'!I2,"AAAAAFR/77o=")</f>
        <v>#VALUE!</v>
      </c>
      <c r="GF2" t="e">
        <f>AND('Risk MES SRISK%'!J2,"AAAAAFR/77s=")</f>
        <v>#VALUE!</v>
      </c>
      <c r="GG2" t="e">
        <f>AND('Risk MES SRISK%'!K2,"AAAAAFR/77w=")</f>
        <v>#VALUE!</v>
      </c>
      <c r="GH2" t="e">
        <f>AND('Risk MES SRISK%'!L2,"AAAAAFR/770=")</f>
        <v>#VALUE!</v>
      </c>
      <c r="GI2" t="e">
        <f>AND('Risk MES SRISK%'!M2,"AAAAAFR/774=")</f>
        <v>#VALUE!</v>
      </c>
      <c r="GJ2" t="e">
        <f>AND('Risk MES SRISK%'!N2,"AAAAAFR/778=")</f>
        <v>#VALUE!</v>
      </c>
      <c r="GK2" t="e">
        <f>AND('Risk MES SRISK%'!O2,"AAAAAFR/78A=")</f>
        <v>#VALUE!</v>
      </c>
      <c r="GL2" t="e">
        <f>AND('Risk MES SRISK%'!P2,"AAAAAFR/78E=")</f>
        <v>#VALUE!</v>
      </c>
      <c r="GM2" t="e">
        <f>AND('Risk MES SRISK%'!Q2,"AAAAAFR/78I=")</f>
        <v>#VALUE!</v>
      </c>
      <c r="GN2" t="e">
        <f>AND('Risk MES SRISK%'!R2,"AAAAAFR/78M=")</f>
        <v>#VALUE!</v>
      </c>
      <c r="GO2" t="e">
        <f>AND('Risk MES SRISK%'!S2,"AAAAAFR/78Q=")</f>
        <v>#VALUE!</v>
      </c>
      <c r="GP2" t="e">
        <f>AND('Risk MES SRISK%'!T2,"AAAAAFR/78U=")</f>
        <v>#VALUE!</v>
      </c>
      <c r="GQ2" t="e">
        <f>AND('Risk MES SRISK%'!U2,"AAAAAFR/78Y=")</f>
        <v>#VALUE!</v>
      </c>
      <c r="GR2" t="e">
        <f>AND('Risk MES SRISK%'!V2,"AAAAAFR/78c=")</f>
        <v>#VALUE!</v>
      </c>
      <c r="GS2" t="e">
        <f>AND('Risk MES SRISK%'!W2,"AAAAAFR/78g=")</f>
        <v>#VALUE!</v>
      </c>
      <c r="GT2">
        <f>IF('Risk MES SRISK%'!3:3,"AAAAAFR/78k=",0)</f>
        <v>0</v>
      </c>
      <c r="GU2" t="e">
        <f>AND('Risk MES SRISK%'!B3,"AAAAAFR/78o=")</f>
        <v>#VALUE!</v>
      </c>
      <c r="GV2" t="e">
        <f>AND('Risk MES SRISK%'!C3,"AAAAAFR/78s=")</f>
        <v>#VALUE!</v>
      </c>
      <c r="GW2" t="e">
        <f>AND('Risk MES SRISK%'!D3,"AAAAAFR/78w=")</f>
        <v>#VALUE!</v>
      </c>
      <c r="GX2" t="e">
        <f>AND('Risk MES SRISK%'!E3,"AAAAAFR/780=")</f>
        <v>#VALUE!</v>
      </c>
      <c r="GY2" t="e">
        <f>AND('Risk MES SRISK%'!F3,"AAAAAFR/784=")</f>
        <v>#VALUE!</v>
      </c>
      <c r="GZ2" t="e">
        <f>AND('Risk MES SRISK%'!G3,"AAAAAFR/788=")</f>
        <v>#VALUE!</v>
      </c>
      <c r="HA2" t="e">
        <f>AND('Risk MES SRISK%'!H3,"AAAAAFR/79A=")</f>
        <v>#VALUE!</v>
      </c>
      <c r="HB2" t="e">
        <f>AND('Risk MES SRISK%'!I3,"AAAAAFR/79E=")</f>
        <v>#VALUE!</v>
      </c>
      <c r="HC2" t="e">
        <f>AND('Risk MES SRISK%'!J3,"AAAAAFR/79I=")</f>
        <v>#VALUE!</v>
      </c>
      <c r="HD2" t="e">
        <f>AND('Risk MES SRISK%'!K3,"AAAAAFR/79M=")</f>
        <v>#VALUE!</v>
      </c>
      <c r="HE2" t="e">
        <f>AND('Risk MES SRISK%'!L3,"AAAAAFR/79Q=")</f>
        <v>#VALUE!</v>
      </c>
      <c r="HF2" t="e">
        <f>AND('Risk MES SRISK%'!M3,"AAAAAFR/79U=")</f>
        <v>#VALUE!</v>
      </c>
      <c r="HG2" t="e">
        <f>AND('Risk MES SRISK%'!N3,"AAAAAFR/79Y=")</f>
        <v>#VALUE!</v>
      </c>
      <c r="HH2" t="e">
        <f>AND('Risk MES SRISK%'!O3,"AAAAAFR/79c=")</f>
        <v>#VALUE!</v>
      </c>
      <c r="HI2" t="e">
        <f>AND('Risk MES SRISK%'!P3,"AAAAAFR/79g=")</f>
        <v>#VALUE!</v>
      </c>
      <c r="HJ2" t="e">
        <f>AND('Risk MES SRISK%'!Q3,"AAAAAFR/79k=")</f>
        <v>#VALUE!</v>
      </c>
      <c r="HK2" t="e">
        <f>AND('Risk MES SRISK%'!R3,"AAAAAFR/79o=")</f>
        <v>#VALUE!</v>
      </c>
      <c r="HL2" t="e">
        <f>AND('Risk MES SRISK%'!S3,"AAAAAFR/79s=")</f>
        <v>#VALUE!</v>
      </c>
      <c r="HM2" t="e">
        <f>AND('Risk MES SRISK%'!T3,"AAAAAFR/79w=")</f>
        <v>#VALUE!</v>
      </c>
      <c r="HN2" t="e">
        <f>AND('Risk MES SRISK%'!U3,"AAAAAFR/790=")</f>
        <v>#VALUE!</v>
      </c>
      <c r="HO2" t="e">
        <f>AND('Risk MES SRISK%'!V3,"AAAAAFR/794=")</f>
        <v>#VALUE!</v>
      </c>
      <c r="HP2" t="e">
        <f>AND('Risk MES SRISK%'!W3,"AAAAAFR/798=")</f>
        <v>#VALUE!</v>
      </c>
      <c r="HQ2">
        <f>IF('Risk MES SRISK%'!4:4,"AAAAAFR/7+A=",0)</f>
        <v>0</v>
      </c>
      <c r="HR2" t="e">
        <f>AND('Risk MES SRISK%'!B4,"AAAAAFR/7+E=")</f>
        <v>#VALUE!</v>
      </c>
      <c r="HS2" t="e">
        <f>AND('Risk MES SRISK%'!C4,"AAAAAFR/7+I=")</f>
        <v>#VALUE!</v>
      </c>
      <c r="HT2" t="e">
        <f>AND('Risk MES SRISK%'!D4,"AAAAAFR/7+M=")</f>
        <v>#VALUE!</v>
      </c>
      <c r="HU2" t="e">
        <f>AND('Risk MES SRISK%'!E4,"AAAAAFR/7+Q=")</f>
        <v>#VALUE!</v>
      </c>
      <c r="HV2" t="e">
        <f>AND('Risk MES SRISK%'!F4,"AAAAAFR/7+U=")</f>
        <v>#VALUE!</v>
      </c>
      <c r="HW2" t="e">
        <f>AND('Risk MES SRISK%'!G4,"AAAAAFR/7+Y=")</f>
        <v>#VALUE!</v>
      </c>
      <c r="HX2" t="e">
        <f>AND('Risk MES SRISK%'!H4,"AAAAAFR/7+c=")</f>
        <v>#VALUE!</v>
      </c>
      <c r="HY2" t="e">
        <f>AND('Risk MES SRISK%'!I4,"AAAAAFR/7+g=")</f>
        <v>#VALUE!</v>
      </c>
      <c r="HZ2" t="e">
        <f>AND('Risk MES SRISK%'!J4,"AAAAAFR/7+k=")</f>
        <v>#VALUE!</v>
      </c>
      <c r="IA2" t="e">
        <f>AND('Risk MES SRISK%'!K4,"AAAAAFR/7+o=")</f>
        <v>#VALUE!</v>
      </c>
      <c r="IB2" t="e">
        <f>AND('Risk MES SRISK%'!L4,"AAAAAFR/7+s=")</f>
        <v>#VALUE!</v>
      </c>
      <c r="IC2" t="e">
        <f>AND('Risk MES SRISK%'!M4,"AAAAAFR/7+w=")</f>
        <v>#VALUE!</v>
      </c>
      <c r="ID2" t="e">
        <f>AND('Risk MES SRISK%'!N4,"AAAAAFR/7+0=")</f>
        <v>#VALUE!</v>
      </c>
      <c r="IE2" t="e">
        <f>AND('Risk MES SRISK%'!O4,"AAAAAFR/7+4=")</f>
        <v>#VALUE!</v>
      </c>
      <c r="IF2" t="e">
        <f>AND('Risk MES SRISK%'!P4,"AAAAAFR/7+8=")</f>
        <v>#VALUE!</v>
      </c>
      <c r="IG2" t="e">
        <f>AND('Risk MES SRISK%'!Q4,"AAAAAFR/7/A=")</f>
        <v>#VALUE!</v>
      </c>
      <c r="IH2" t="e">
        <f>AND('Risk MES SRISK%'!R4,"AAAAAFR/7/E=")</f>
        <v>#VALUE!</v>
      </c>
      <c r="II2" t="e">
        <f>AND('Risk MES SRISK%'!S4,"AAAAAFR/7/I=")</f>
        <v>#VALUE!</v>
      </c>
      <c r="IJ2" t="e">
        <f>AND('Risk MES SRISK%'!T4,"AAAAAFR/7/M=")</f>
        <v>#VALUE!</v>
      </c>
      <c r="IK2" t="e">
        <f>AND('Risk MES SRISK%'!U4,"AAAAAFR/7/Q=")</f>
        <v>#VALUE!</v>
      </c>
      <c r="IL2" t="e">
        <f>AND('Risk MES SRISK%'!V4,"AAAAAFR/7/U=")</f>
        <v>#VALUE!</v>
      </c>
      <c r="IM2" t="e">
        <f>AND('Risk MES SRISK%'!W4,"AAAAAFR/7/Y=")</f>
        <v>#VALUE!</v>
      </c>
      <c r="IN2">
        <f>IF('Risk MES SRISK%'!5:5,"AAAAAFR/7/c=",0)</f>
        <v>0</v>
      </c>
      <c r="IO2" t="e">
        <f>AND('Risk MES SRISK%'!B5,"AAAAAFR/7/g=")</f>
        <v>#VALUE!</v>
      </c>
      <c r="IP2" t="e">
        <f>AND('Risk MES SRISK%'!C5,"AAAAAFR/7/k=")</f>
        <v>#VALUE!</v>
      </c>
      <c r="IQ2" t="e">
        <f>AND('Risk MES SRISK%'!D5,"AAAAAFR/7/o=")</f>
        <v>#VALUE!</v>
      </c>
      <c r="IR2" t="e">
        <f>AND('Risk MES SRISK%'!E5,"AAAAAFR/7/s=")</f>
        <v>#VALUE!</v>
      </c>
      <c r="IS2" t="e">
        <f>AND('Risk MES SRISK%'!F5,"AAAAAFR/7/w=")</f>
        <v>#VALUE!</v>
      </c>
      <c r="IT2" t="e">
        <f>AND('Risk MES SRISK%'!G5,"AAAAAFR/7/0=")</f>
        <v>#VALUE!</v>
      </c>
      <c r="IU2" t="e">
        <f>AND('Risk MES SRISK%'!H5,"AAAAAFR/7/4=")</f>
        <v>#VALUE!</v>
      </c>
      <c r="IV2" t="e">
        <f>AND('Risk MES SRISK%'!I5,"AAAAAFR/7/8=")</f>
        <v>#VALUE!</v>
      </c>
    </row>
    <row r="3" spans="1:256" x14ac:dyDescent="0.25">
      <c r="A3" t="e">
        <f>AND('Risk MES SRISK%'!J5,"AAAAABL7fQA=")</f>
        <v>#VALUE!</v>
      </c>
      <c r="B3" t="e">
        <f>AND('Risk MES SRISK%'!K5,"AAAAABL7fQE=")</f>
        <v>#VALUE!</v>
      </c>
      <c r="C3" t="e">
        <f>AND('Risk MES SRISK%'!L5,"AAAAABL7fQI=")</f>
        <v>#VALUE!</v>
      </c>
      <c r="D3" t="e">
        <f>AND('Risk MES SRISK%'!M5,"AAAAABL7fQM=")</f>
        <v>#VALUE!</v>
      </c>
      <c r="E3" t="e">
        <f>AND('Risk MES SRISK%'!N5,"AAAAABL7fQQ=")</f>
        <v>#VALUE!</v>
      </c>
      <c r="F3" t="e">
        <f>AND('Risk MES SRISK%'!O5,"AAAAABL7fQU=")</f>
        <v>#VALUE!</v>
      </c>
      <c r="G3" t="e">
        <f>AND('Risk MES SRISK%'!P5,"AAAAABL7fQY=")</f>
        <v>#VALUE!</v>
      </c>
      <c r="H3" t="e">
        <f>AND('Risk MES SRISK%'!Q5,"AAAAABL7fQc=")</f>
        <v>#VALUE!</v>
      </c>
      <c r="I3" t="e">
        <f>AND('Risk MES SRISK%'!R5,"AAAAABL7fQg=")</f>
        <v>#VALUE!</v>
      </c>
      <c r="J3" t="e">
        <f>AND('Risk MES SRISK%'!S5,"AAAAABL7fQk=")</f>
        <v>#VALUE!</v>
      </c>
      <c r="K3" t="e">
        <f>AND('Risk MES SRISK%'!T5,"AAAAABL7fQo=")</f>
        <v>#VALUE!</v>
      </c>
      <c r="L3" t="e">
        <f>AND('Risk MES SRISK%'!U5,"AAAAABL7fQs=")</f>
        <v>#VALUE!</v>
      </c>
      <c r="M3" t="e">
        <f>AND('Risk MES SRISK%'!V5,"AAAAABL7fQw=")</f>
        <v>#VALUE!</v>
      </c>
      <c r="N3" t="e">
        <f>AND('Risk MES SRISK%'!W5,"AAAAABL7fQ0=")</f>
        <v>#VALUE!</v>
      </c>
      <c r="O3" t="str">
        <f>IF('Risk MES SRISK%'!6:6,"AAAAABL7fQ4=",0)</f>
        <v>AAAAABL7fQ4=</v>
      </c>
      <c r="P3" t="e">
        <f>AND('Risk MES SRISK%'!B6,"AAAAABL7fQ8=")</f>
        <v>#VALUE!</v>
      </c>
      <c r="Q3" t="e">
        <f>AND('Risk MES SRISK%'!C6,"AAAAABL7fRA=")</f>
        <v>#VALUE!</v>
      </c>
      <c r="R3" t="e">
        <f>AND('Risk MES SRISK%'!D6,"AAAAABL7fRE=")</f>
        <v>#VALUE!</v>
      </c>
      <c r="S3" t="e">
        <f>AND('Risk MES SRISK%'!E6,"AAAAABL7fRI=")</f>
        <v>#VALUE!</v>
      </c>
      <c r="T3" t="e">
        <f>AND('Risk MES SRISK%'!F6,"AAAAABL7fRM=")</f>
        <v>#VALUE!</v>
      </c>
      <c r="U3" t="e">
        <f>AND('Risk MES SRISK%'!G6,"AAAAABL7fRQ=")</f>
        <v>#VALUE!</v>
      </c>
      <c r="V3" t="e">
        <f>AND('Risk MES SRISK%'!H6,"AAAAABL7fRU=")</f>
        <v>#VALUE!</v>
      </c>
      <c r="W3" t="e">
        <f>AND('Risk MES SRISK%'!I6,"AAAAABL7fRY=")</f>
        <v>#VALUE!</v>
      </c>
      <c r="X3" t="e">
        <f>AND('Risk MES SRISK%'!J6,"AAAAABL7fRc=")</f>
        <v>#VALUE!</v>
      </c>
      <c r="Y3" t="e">
        <f>AND('Risk MES SRISK%'!K6,"AAAAABL7fRg=")</f>
        <v>#VALUE!</v>
      </c>
      <c r="Z3" t="e">
        <f>AND('Risk MES SRISK%'!L6,"AAAAABL7fRk=")</f>
        <v>#VALUE!</v>
      </c>
      <c r="AA3" t="e">
        <f>AND('Risk MES SRISK%'!M6,"AAAAABL7fRo=")</f>
        <v>#VALUE!</v>
      </c>
      <c r="AB3" t="e">
        <f>AND('Risk MES SRISK%'!N6,"AAAAABL7fRs=")</f>
        <v>#VALUE!</v>
      </c>
      <c r="AC3" t="e">
        <f>AND('Risk MES SRISK%'!O6,"AAAAABL7fRw=")</f>
        <v>#VALUE!</v>
      </c>
      <c r="AD3" t="e">
        <f>AND('Risk MES SRISK%'!P6,"AAAAABL7fR0=")</f>
        <v>#VALUE!</v>
      </c>
      <c r="AE3" t="e">
        <f>AND('Risk MES SRISK%'!Q6,"AAAAABL7fR4=")</f>
        <v>#VALUE!</v>
      </c>
      <c r="AF3" t="e">
        <f>AND('Risk MES SRISK%'!R6,"AAAAABL7fR8=")</f>
        <v>#VALUE!</v>
      </c>
      <c r="AG3" t="e">
        <f>AND('Risk MES SRISK%'!S6,"AAAAABL7fSA=")</f>
        <v>#VALUE!</v>
      </c>
      <c r="AH3" t="e">
        <f>AND('Risk MES SRISK%'!T6,"AAAAABL7fSE=")</f>
        <v>#VALUE!</v>
      </c>
      <c r="AI3" t="e">
        <f>AND('Risk MES SRISK%'!U6,"AAAAABL7fSI=")</f>
        <v>#VALUE!</v>
      </c>
      <c r="AJ3" t="e">
        <f>AND('Risk MES SRISK%'!V6,"AAAAABL7fSM=")</f>
        <v>#VALUE!</v>
      </c>
      <c r="AK3" t="e">
        <f>AND('Risk MES SRISK%'!W6,"AAAAABL7fSQ=")</f>
        <v>#VALUE!</v>
      </c>
      <c r="AL3">
        <f>IF('Risk MES SRISK%'!7:7,"AAAAABL7fSU=",0)</f>
        <v>0</v>
      </c>
      <c r="AM3" t="e">
        <f>AND('Risk MES SRISK%'!B7,"AAAAABL7fSY=")</f>
        <v>#VALUE!</v>
      </c>
      <c r="AN3" t="e">
        <f>AND('Risk MES SRISK%'!C7,"AAAAABL7fSc=")</f>
        <v>#VALUE!</v>
      </c>
      <c r="AO3" t="e">
        <f>AND('Risk MES SRISK%'!D7,"AAAAABL7fSg=")</f>
        <v>#VALUE!</v>
      </c>
      <c r="AP3" t="e">
        <f>AND('Risk MES SRISK%'!E7,"AAAAABL7fSk=")</f>
        <v>#VALUE!</v>
      </c>
      <c r="AQ3" t="e">
        <f>AND('Risk MES SRISK%'!F7,"AAAAABL7fSo=")</f>
        <v>#VALUE!</v>
      </c>
      <c r="AR3" t="e">
        <f>AND('Risk MES SRISK%'!G7,"AAAAABL7fSs=")</f>
        <v>#VALUE!</v>
      </c>
      <c r="AS3" t="e">
        <f>AND('Risk MES SRISK%'!H7,"AAAAABL7fSw=")</f>
        <v>#VALUE!</v>
      </c>
      <c r="AT3" t="e">
        <f>AND('Risk MES SRISK%'!I7,"AAAAABL7fS0=")</f>
        <v>#VALUE!</v>
      </c>
      <c r="AU3" t="e">
        <f>AND('Risk MES SRISK%'!J7,"AAAAABL7fS4=")</f>
        <v>#VALUE!</v>
      </c>
      <c r="AV3" t="e">
        <f>AND('Risk MES SRISK%'!K7,"AAAAABL7fS8=")</f>
        <v>#VALUE!</v>
      </c>
      <c r="AW3" t="e">
        <f>AND('Risk MES SRISK%'!L7,"AAAAABL7fTA=")</f>
        <v>#VALUE!</v>
      </c>
      <c r="AX3" t="e">
        <f>AND('Risk MES SRISK%'!M7,"AAAAABL7fTE=")</f>
        <v>#VALUE!</v>
      </c>
      <c r="AY3" t="e">
        <f>AND('Risk MES SRISK%'!N7,"AAAAABL7fTI=")</f>
        <v>#VALUE!</v>
      </c>
      <c r="AZ3" t="e">
        <f>AND('Risk MES SRISK%'!O7,"AAAAABL7fTM=")</f>
        <v>#VALUE!</v>
      </c>
      <c r="BA3" t="e">
        <f>AND('Risk MES SRISK%'!P7,"AAAAABL7fTQ=")</f>
        <v>#VALUE!</v>
      </c>
      <c r="BB3" t="e">
        <f>AND('Risk MES SRISK%'!Q7,"AAAAABL7fTU=")</f>
        <v>#VALUE!</v>
      </c>
      <c r="BC3" t="e">
        <f>AND('Risk MES SRISK%'!R7,"AAAAABL7fTY=")</f>
        <v>#VALUE!</v>
      </c>
      <c r="BD3" t="e">
        <f>AND('Risk MES SRISK%'!S7,"AAAAABL7fTc=")</f>
        <v>#VALUE!</v>
      </c>
      <c r="BE3" t="e">
        <f>AND('Risk MES SRISK%'!T7,"AAAAABL7fTg=")</f>
        <v>#VALUE!</v>
      </c>
      <c r="BF3" t="e">
        <f>AND('Risk MES SRISK%'!U7,"AAAAABL7fTk=")</f>
        <v>#VALUE!</v>
      </c>
      <c r="BG3" t="e">
        <f>AND('Risk MES SRISK%'!V7,"AAAAABL7fTo=")</f>
        <v>#VALUE!</v>
      </c>
      <c r="BH3" t="e">
        <f>AND('Risk MES SRISK%'!W7,"AAAAABL7fTs=")</f>
        <v>#VALUE!</v>
      </c>
      <c r="BI3">
        <f>IF('Risk MES SRISK%'!8:8,"AAAAABL7fTw=",0)</f>
        <v>0</v>
      </c>
      <c r="BJ3" t="e">
        <f>AND('Risk MES SRISK%'!B8,"AAAAABL7fT0=")</f>
        <v>#VALUE!</v>
      </c>
      <c r="BK3" t="e">
        <f>AND('Risk MES SRISK%'!C8,"AAAAABL7fT4=")</f>
        <v>#VALUE!</v>
      </c>
      <c r="BL3" t="e">
        <f>AND('Risk MES SRISK%'!D8,"AAAAABL7fT8=")</f>
        <v>#VALUE!</v>
      </c>
      <c r="BM3" t="e">
        <f>AND('Risk MES SRISK%'!E8,"AAAAABL7fUA=")</f>
        <v>#VALUE!</v>
      </c>
      <c r="BN3" t="e">
        <f>AND('Risk MES SRISK%'!F8,"AAAAABL7fUE=")</f>
        <v>#VALUE!</v>
      </c>
      <c r="BO3" t="e">
        <f>AND('Risk MES SRISK%'!G8,"AAAAABL7fUI=")</f>
        <v>#VALUE!</v>
      </c>
      <c r="BP3" t="e">
        <f>AND('Risk MES SRISK%'!H8,"AAAAABL7fUM=")</f>
        <v>#VALUE!</v>
      </c>
      <c r="BQ3" t="e">
        <f>AND('Risk MES SRISK%'!I8,"AAAAABL7fUQ=")</f>
        <v>#VALUE!</v>
      </c>
      <c r="BR3" t="e">
        <f>AND('Risk MES SRISK%'!J8,"AAAAABL7fUU=")</f>
        <v>#VALUE!</v>
      </c>
      <c r="BS3" t="e">
        <f>AND('Risk MES SRISK%'!K8,"AAAAABL7fUY=")</f>
        <v>#VALUE!</v>
      </c>
      <c r="BT3" t="e">
        <f>AND('Risk MES SRISK%'!L8,"AAAAABL7fUc=")</f>
        <v>#VALUE!</v>
      </c>
      <c r="BU3" t="e">
        <f>AND('Risk MES SRISK%'!M8,"AAAAABL7fUg=")</f>
        <v>#VALUE!</v>
      </c>
      <c r="BV3" t="e">
        <f>AND('Risk MES SRISK%'!N8,"AAAAABL7fUk=")</f>
        <v>#VALUE!</v>
      </c>
      <c r="BW3" t="e">
        <f>AND('Risk MES SRISK%'!O8,"AAAAABL7fUo=")</f>
        <v>#VALUE!</v>
      </c>
      <c r="BX3" t="e">
        <f>AND('Risk MES SRISK%'!P8,"AAAAABL7fUs=")</f>
        <v>#VALUE!</v>
      </c>
      <c r="BY3" t="e">
        <f>AND('Risk MES SRISK%'!Q8,"AAAAABL7fUw=")</f>
        <v>#VALUE!</v>
      </c>
      <c r="BZ3" t="e">
        <f>AND('Risk MES SRISK%'!R8,"AAAAABL7fU0=")</f>
        <v>#VALUE!</v>
      </c>
      <c r="CA3" t="e">
        <f>AND('Risk MES SRISK%'!S8,"AAAAABL7fU4=")</f>
        <v>#VALUE!</v>
      </c>
      <c r="CB3" t="e">
        <f>AND('Risk MES SRISK%'!T8,"AAAAABL7fU8=")</f>
        <v>#VALUE!</v>
      </c>
      <c r="CC3" t="e">
        <f>AND('Risk MES SRISK%'!U8,"AAAAABL7fVA=")</f>
        <v>#VALUE!</v>
      </c>
      <c r="CD3" t="e">
        <f>AND('Risk MES SRISK%'!V8,"AAAAABL7fVE=")</f>
        <v>#VALUE!</v>
      </c>
      <c r="CE3" t="e">
        <f>AND('Risk MES SRISK%'!W8,"AAAAABL7fVI=")</f>
        <v>#VALUE!</v>
      </c>
      <c r="CF3">
        <f>IF('Risk MES SRISK%'!9:9,"AAAAABL7fVM=",0)</f>
        <v>0</v>
      </c>
      <c r="CG3" t="e">
        <f>AND('Risk MES SRISK%'!B9,"AAAAABL7fVQ=")</f>
        <v>#VALUE!</v>
      </c>
      <c r="CH3" t="e">
        <f>AND('Risk MES SRISK%'!C9,"AAAAABL7fVU=")</f>
        <v>#VALUE!</v>
      </c>
      <c r="CI3" t="e">
        <f>AND('Risk MES SRISK%'!D9,"AAAAABL7fVY=")</f>
        <v>#VALUE!</v>
      </c>
      <c r="CJ3" t="e">
        <f>AND('Risk MES SRISK%'!E9,"AAAAABL7fVc=")</f>
        <v>#VALUE!</v>
      </c>
      <c r="CK3" t="e">
        <f>AND('Risk MES SRISK%'!F9,"AAAAABL7fVg=")</f>
        <v>#VALUE!</v>
      </c>
      <c r="CL3" t="e">
        <f>AND('Risk MES SRISK%'!G9,"AAAAABL7fVk=")</f>
        <v>#VALUE!</v>
      </c>
      <c r="CM3" t="e">
        <f>AND('Risk MES SRISK%'!H9,"AAAAABL7fVo=")</f>
        <v>#VALUE!</v>
      </c>
      <c r="CN3" t="e">
        <f>AND('Risk MES SRISK%'!I9,"AAAAABL7fVs=")</f>
        <v>#VALUE!</v>
      </c>
      <c r="CO3" t="e">
        <f>AND('Risk MES SRISK%'!J9,"AAAAABL7fVw=")</f>
        <v>#VALUE!</v>
      </c>
      <c r="CP3" t="e">
        <f>AND('Risk MES SRISK%'!K9,"AAAAABL7fV0=")</f>
        <v>#VALUE!</v>
      </c>
      <c r="CQ3" t="e">
        <f>AND('Risk MES SRISK%'!L9,"AAAAABL7fV4=")</f>
        <v>#VALUE!</v>
      </c>
      <c r="CR3" t="e">
        <f>AND('Risk MES SRISK%'!M9,"AAAAABL7fV8=")</f>
        <v>#VALUE!</v>
      </c>
      <c r="CS3" t="e">
        <f>AND('Risk MES SRISK%'!N9,"AAAAABL7fWA=")</f>
        <v>#VALUE!</v>
      </c>
      <c r="CT3" t="e">
        <f>AND('Risk MES SRISK%'!O9,"AAAAABL7fWE=")</f>
        <v>#VALUE!</v>
      </c>
      <c r="CU3" t="e">
        <f>AND('Risk MES SRISK%'!P9,"AAAAABL7fWI=")</f>
        <v>#VALUE!</v>
      </c>
      <c r="CV3" t="e">
        <f>AND('Risk MES SRISK%'!Q9,"AAAAABL7fWM=")</f>
        <v>#VALUE!</v>
      </c>
      <c r="CW3" t="e">
        <f>AND('Risk MES SRISK%'!R9,"AAAAABL7fWQ=")</f>
        <v>#VALUE!</v>
      </c>
      <c r="CX3" t="e">
        <f>AND('Risk MES SRISK%'!S9,"AAAAABL7fWU=")</f>
        <v>#VALUE!</v>
      </c>
      <c r="CY3" t="e">
        <f>AND('Risk MES SRISK%'!T9,"AAAAABL7fWY=")</f>
        <v>#VALUE!</v>
      </c>
      <c r="CZ3" t="e">
        <f>AND('Risk MES SRISK%'!U9,"AAAAABL7fWc=")</f>
        <v>#VALUE!</v>
      </c>
      <c r="DA3" t="e">
        <f>AND('Risk MES SRISK%'!V9,"AAAAABL7fWg=")</f>
        <v>#VALUE!</v>
      </c>
      <c r="DB3" t="e">
        <f>AND('Risk MES SRISK%'!W9,"AAAAABL7fWk=")</f>
        <v>#VALUE!</v>
      </c>
      <c r="DC3">
        <f>IF('Risk MES SRISK%'!10:10,"AAAAABL7fWo=",0)</f>
        <v>0</v>
      </c>
      <c r="DD3" t="e">
        <f>AND('Risk MES SRISK%'!B10,"AAAAABL7fWs=")</f>
        <v>#VALUE!</v>
      </c>
      <c r="DE3" t="e">
        <f>AND('Risk MES SRISK%'!C10,"AAAAABL7fWw=")</f>
        <v>#VALUE!</v>
      </c>
      <c r="DF3" t="e">
        <f>AND('Risk MES SRISK%'!D10,"AAAAABL7fW0=")</f>
        <v>#VALUE!</v>
      </c>
      <c r="DG3" t="e">
        <f>AND('Risk MES SRISK%'!E10,"AAAAABL7fW4=")</f>
        <v>#VALUE!</v>
      </c>
      <c r="DH3" t="e">
        <f>AND('Risk MES SRISK%'!F10,"AAAAABL7fW8=")</f>
        <v>#VALUE!</v>
      </c>
      <c r="DI3" t="e">
        <f>AND('Risk MES SRISK%'!G10,"AAAAABL7fXA=")</f>
        <v>#VALUE!</v>
      </c>
      <c r="DJ3" t="e">
        <f>AND('Risk MES SRISK%'!H10,"AAAAABL7fXE=")</f>
        <v>#VALUE!</v>
      </c>
      <c r="DK3" t="e">
        <f>AND('Risk MES SRISK%'!I10,"AAAAABL7fXI=")</f>
        <v>#VALUE!</v>
      </c>
      <c r="DL3" t="e">
        <f>AND('Risk MES SRISK%'!J10,"AAAAABL7fXM=")</f>
        <v>#VALUE!</v>
      </c>
      <c r="DM3" t="e">
        <f>AND('Risk MES SRISK%'!K10,"AAAAABL7fXQ=")</f>
        <v>#VALUE!</v>
      </c>
      <c r="DN3" t="e">
        <f>AND('Risk MES SRISK%'!L10,"AAAAABL7fXU=")</f>
        <v>#VALUE!</v>
      </c>
      <c r="DO3" t="e">
        <f>AND('Risk MES SRISK%'!M10,"AAAAABL7fXY=")</f>
        <v>#VALUE!</v>
      </c>
      <c r="DP3" t="e">
        <f>AND('Risk MES SRISK%'!N10,"AAAAABL7fXc=")</f>
        <v>#VALUE!</v>
      </c>
      <c r="DQ3" t="e">
        <f>AND('Risk MES SRISK%'!O10,"AAAAABL7fXg=")</f>
        <v>#VALUE!</v>
      </c>
      <c r="DR3" t="e">
        <f>AND('Risk MES SRISK%'!P10,"AAAAABL7fXk=")</f>
        <v>#VALUE!</v>
      </c>
      <c r="DS3" t="e">
        <f>AND('Risk MES SRISK%'!Q10,"AAAAABL7fXo=")</f>
        <v>#VALUE!</v>
      </c>
      <c r="DT3" t="e">
        <f>AND('Risk MES SRISK%'!R10,"AAAAABL7fXs=")</f>
        <v>#VALUE!</v>
      </c>
      <c r="DU3" t="e">
        <f>AND('Risk MES SRISK%'!S10,"AAAAABL7fXw=")</f>
        <v>#VALUE!</v>
      </c>
      <c r="DV3" t="e">
        <f>AND('Risk MES SRISK%'!T10,"AAAAABL7fX0=")</f>
        <v>#VALUE!</v>
      </c>
      <c r="DW3" t="e">
        <f>AND('Risk MES SRISK%'!U10,"AAAAABL7fX4=")</f>
        <v>#VALUE!</v>
      </c>
      <c r="DX3" t="e">
        <f>AND('Risk MES SRISK%'!V10,"AAAAABL7fX8=")</f>
        <v>#VALUE!</v>
      </c>
      <c r="DY3" t="e">
        <f>AND('Risk MES SRISK%'!W10,"AAAAABL7fYA=")</f>
        <v>#VALUE!</v>
      </c>
      <c r="DZ3">
        <f>IF('Risk MES SRISK%'!11:11,"AAAAABL7fYE=",0)</f>
        <v>0</v>
      </c>
      <c r="EA3" t="e">
        <f>AND('Risk MES SRISK%'!B11,"AAAAABL7fYI=")</f>
        <v>#VALUE!</v>
      </c>
      <c r="EB3" t="e">
        <f>AND('Risk MES SRISK%'!C11,"AAAAABL7fYM=")</f>
        <v>#VALUE!</v>
      </c>
      <c r="EC3" t="e">
        <f>AND('Risk MES SRISK%'!D11,"AAAAABL7fYQ=")</f>
        <v>#VALUE!</v>
      </c>
      <c r="ED3" t="e">
        <f>AND('Risk MES SRISK%'!E11,"AAAAABL7fYU=")</f>
        <v>#VALUE!</v>
      </c>
      <c r="EE3" t="e">
        <f>AND('Risk MES SRISK%'!F11,"AAAAABL7fYY=")</f>
        <v>#VALUE!</v>
      </c>
      <c r="EF3" t="e">
        <f>AND('Risk MES SRISK%'!G11,"AAAAABL7fYc=")</f>
        <v>#VALUE!</v>
      </c>
      <c r="EG3" t="e">
        <f>AND('Risk MES SRISK%'!H11,"AAAAABL7fYg=")</f>
        <v>#VALUE!</v>
      </c>
      <c r="EH3" t="e">
        <f>AND('Risk MES SRISK%'!I11,"AAAAABL7fYk=")</f>
        <v>#VALUE!</v>
      </c>
      <c r="EI3" t="e">
        <f>AND('Risk MES SRISK%'!J11,"AAAAABL7fYo=")</f>
        <v>#VALUE!</v>
      </c>
      <c r="EJ3" t="e">
        <f>AND('Risk MES SRISK%'!K11,"AAAAABL7fYs=")</f>
        <v>#VALUE!</v>
      </c>
      <c r="EK3" t="e">
        <f>AND('Risk MES SRISK%'!L11,"AAAAABL7fYw=")</f>
        <v>#VALUE!</v>
      </c>
      <c r="EL3" t="e">
        <f>AND('Risk MES SRISK%'!M11,"AAAAABL7fY0=")</f>
        <v>#VALUE!</v>
      </c>
      <c r="EM3" t="e">
        <f>AND('Risk MES SRISK%'!N11,"AAAAABL7fY4=")</f>
        <v>#VALUE!</v>
      </c>
      <c r="EN3" t="e">
        <f>AND('Risk MES SRISK%'!O11,"AAAAABL7fY8=")</f>
        <v>#VALUE!</v>
      </c>
      <c r="EO3" t="e">
        <f>AND('Risk MES SRISK%'!P11,"AAAAABL7fZA=")</f>
        <v>#VALUE!</v>
      </c>
      <c r="EP3" t="e">
        <f>AND('Risk MES SRISK%'!Q11,"AAAAABL7fZE=")</f>
        <v>#VALUE!</v>
      </c>
      <c r="EQ3" t="e">
        <f>AND('Risk MES SRISK%'!R11,"AAAAABL7fZI=")</f>
        <v>#VALUE!</v>
      </c>
      <c r="ER3" t="e">
        <f>AND('Risk MES SRISK%'!S11,"AAAAABL7fZM=")</f>
        <v>#VALUE!</v>
      </c>
      <c r="ES3" t="e">
        <f>AND('Risk MES SRISK%'!T11,"AAAAABL7fZQ=")</f>
        <v>#VALUE!</v>
      </c>
      <c r="ET3" t="e">
        <f>AND('Risk MES SRISK%'!U11,"AAAAABL7fZU=")</f>
        <v>#VALUE!</v>
      </c>
      <c r="EU3" t="e">
        <f>AND('Risk MES SRISK%'!V11,"AAAAABL7fZY=")</f>
        <v>#VALUE!</v>
      </c>
      <c r="EV3" t="e">
        <f>AND('Risk MES SRISK%'!W11,"AAAAABL7fZc=")</f>
        <v>#VALUE!</v>
      </c>
      <c r="EW3">
        <f>IF('Risk MES SRISK%'!12:12,"AAAAABL7fZg=",0)</f>
        <v>0</v>
      </c>
      <c r="EX3" t="e">
        <f>AND('Risk MES SRISK%'!B12,"AAAAABL7fZk=")</f>
        <v>#VALUE!</v>
      </c>
      <c r="EY3" t="e">
        <f>AND('Risk MES SRISK%'!C12,"AAAAABL7fZo=")</f>
        <v>#VALUE!</v>
      </c>
      <c r="EZ3" t="e">
        <f>AND('Risk MES SRISK%'!D12,"AAAAABL7fZs=")</f>
        <v>#VALUE!</v>
      </c>
      <c r="FA3" t="e">
        <f>AND('Risk MES SRISK%'!E12,"AAAAABL7fZw=")</f>
        <v>#VALUE!</v>
      </c>
      <c r="FB3" t="e">
        <f>AND('Risk MES SRISK%'!F12,"AAAAABL7fZ0=")</f>
        <v>#VALUE!</v>
      </c>
      <c r="FC3" t="e">
        <f>AND('Risk MES SRISK%'!G12,"AAAAABL7fZ4=")</f>
        <v>#VALUE!</v>
      </c>
      <c r="FD3" t="e">
        <f>AND('Risk MES SRISK%'!H12,"AAAAABL7fZ8=")</f>
        <v>#VALUE!</v>
      </c>
      <c r="FE3" t="e">
        <f>AND('Risk MES SRISK%'!I12,"AAAAABL7faA=")</f>
        <v>#VALUE!</v>
      </c>
      <c r="FF3" t="e">
        <f>AND('Risk MES SRISK%'!J12,"AAAAABL7faE=")</f>
        <v>#VALUE!</v>
      </c>
      <c r="FG3" t="e">
        <f>AND('Risk MES SRISK%'!K12,"AAAAABL7faI=")</f>
        <v>#VALUE!</v>
      </c>
      <c r="FH3" t="e">
        <f>AND('Risk MES SRISK%'!L12,"AAAAABL7faM=")</f>
        <v>#VALUE!</v>
      </c>
      <c r="FI3" t="e">
        <f>AND('Risk MES SRISK%'!M12,"AAAAABL7faQ=")</f>
        <v>#VALUE!</v>
      </c>
      <c r="FJ3" t="e">
        <f>AND('Risk MES SRISK%'!N12,"AAAAABL7faU=")</f>
        <v>#VALUE!</v>
      </c>
      <c r="FK3" t="e">
        <f>AND('Risk MES SRISK%'!O12,"AAAAABL7faY=")</f>
        <v>#VALUE!</v>
      </c>
      <c r="FL3" t="e">
        <f>AND('Risk MES SRISK%'!P12,"AAAAABL7fac=")</f>
        <v>#VALUE!</v>
      </c>
      <c r="FM3" t="e">
        <f>AND('Risk MES SRISK%'!Q12,"AAAAABL7fag=")</f>
        <v>#VALUE!</v>
      </c>
      <c r="FN3" t="e">
        <f>AND('Risk MES SRISK%'!R12,"AAAAABL7fak=")</f>
        <v>#VALUE!</v>
      </c>
      <c r="FO3" t="e">
        <f>AND('Risk MES SRISK%'!S12,"AAAAABL7fao=")</f>
        <v>#VALUE!</v>
      </c>
      <c r="FP3" t="e">
        <f>AND('Risk MES SRISK%'!T12,"AAAAABL7fas=")</f>
        <v>#VALUE!</v>
      </c>
      <c r="FQ3" t="e">
        <f>AND('Risk MES SRISK%'!U12,"AAAAABL7faw=")</f>
        <v>#VALUE!</v>
      </c>
      <c r="FR3" t="e">
        <f>AND('Risk MES SRISK%'!V12,"AAAAABL7fa0=")</f>
        <v>#VALUE!</v>
      </c>
      <c r="FS3" t="e">
        <f>AND('Risk MES SRISK%'!W12,"AAAAABL7fa4=")</f>
        <v>#VALUE!</v>
      </c>
      <c r="FT3">
        <f>IF('Risk MES SRISK%'!13:13,"AAAAABL7fa8=",0)</f>
        <v>0</v>
      </c>
      <c r="FU3" t="e">
        <f>AND('Risk MES SRISK%'!B13,"AAAAABL7fbA=")</f>
        <v>#VALUE!</v>
      </c>
      <c r="FV3" t="e">
        <f>AND('Risk MES SRISK%'!C13,"AAAAABL7fbE=")</f>
        <v>#VALUE!</v>
      </c>
      <c r="FW3" t="e">
        <f>AND('Risk MES SRISK%'!D13,"AAAAABL7fbI=")</f>
        <v>#VALUE!</v>
      </c>
      <c r="FX3" t="e">
        <f>AND('Risk MES SRISK%'!E13,"AAAAABL7fbM=")</f>
        <v>#VALUE!</v>
      </c>
      <c r="FY3" t="e">
        <f>AND('Risk MES SRISK%'!F13,"AAAAABL7fbQ=")</f>
        <v>#VALUE!</v>
      </c>
      <c r="FZ3" t="e">
        <f>AND('Risk MES SRISK%'!G13,"AAAAABL7fbU=")</f>
        <v>#VALUE!</v>
      </c>
      <c r="GA3" t="e">
        <f>AND('Risk MES SRISK%'!H13,"AAAAABL7fbY=")</f>
        <v>#VALUE!</v>
      </c>
      <c r="GB3" t="e">
        <f>AND('Risk MES SRISK%'!I13,"AAAAABL7fbc=")</f>
        <v>#VALUE!</v>
      </c>
      <c r="GC3" t="e">
        <f>AND('Risk MES SRISK%'!J13,"AAAAABL7fbg=")</f>
        <v>#VALUE!</v>
      </c>
      <c r="GD3" t="e">
        <f>AND('Risk MES SRISK%'!K13,"AAAAABL7fbk=")</f>
        <v>#VALUE!</v>
      </c>
      <c r="GE3" t="e">
        <f>AND('Risk MES SRISK%'!L13,"AAAAABL7fbo=")</f>
        <v>#VALUE!</v>
      </c>
      <c r="GF3" t="e">
        <f>AND('Risk MES SRISK%'!M13,"AAAAABL7fbs=")</f>
        <v>#VALUE!</v>
      </c>
      <c r="GG3" t="e">
        <f>AND('Risk MES SRISK%'!N13,"AAAAABL7fbw=")</f>
        <v>#VALUE!</v>
      </c>
      <c r="GH3" t="e">
        <f>AND('Risk MES SRISK%'!O13,"AAAAABL7fb0=")</f>
        <v>#VALUE!</v>
      </c>
      <c r="GI3" t="e">
        <f>AND('Risk MES SRISK%'!P13,"AAAAABL7fb4=")</f>
        <v>#VALUE!</v>
      </c>
      <c r="GJ3" t="e">
        <f>AND('Risk MES SRISK%'!Q13,"AAAAABL7fb8=")</f>
        <v>#VALUE!</v>
      </c>
      <c r="GK3" t="e">
        <f>AND('Risk MES SRISK%'!R13,"AAAAABL7fcA=")</f>
        <v>#VALUE!</v>
      </c>
      <c r="GL3" t="e">
        <f>AND('Risk MES SRISK%'!S13,"AAAAABL7fcE=")</f>
        <v>#VALUE!</v>
      </c>
      <c r="GM3" t="e">
        <f>AND('Risk MES SRISK%'!T13,"AAAAABL7fcI=")</f>
        <v>#VALUE!</v>
      </c>
      <c r="GN3" t="e">
        <f>AND('Risk MES SRISK%'!U13,"AAAAABL7fcM=")</f>
        <v>#VALUE!</v>
      </c>
      <c r="GO3" t="e">
        <f>AND('Risk MES SRISK%'!V13,"AAAAABL7fcQ=")</f>
        <v>#VALUE!</v>
      </c>
      <c r="GP3" t="e">
        <f>AND('Risk MES SRISK%'!W13,"AAAAABL7fcU=")</f>
        <v>#VALUE!</v>
      </c>
      <c r="GQ3">
        <f>IF('Risk MES SRISK%'!14:14,"AAAAABL7fcY=",0)</f>
        <v>0</v>
      </c>
      <c r="GR3" t="e">
        <f>AND('Risk MES SRISK%'!B14,"AAAAABL7fcc=")</f>
        <v>#VALUE!</v>
      </c>
      <c r="GS3" t="e">
        <f>AND('Risk MES SRISK%'!C14,"AAAAABL7fcg=")</f>
        <v>#VALUE!</v>
      </c>
      <c r="GT3" t="e">
        <f>AND('Risk MES SRISK%'!D14,"AAAAABL7fck=")</f>
        <v>#VALUE!</v>
      </c>
      <c r="GU3" t="e">
        <f>AND('Risk MES SRISK%'!E14,"AAAAABL7fco=")</f>
        <v>#VALUE!</v>
      </c>
      <c r="GV3" t="e">
        <f>AND('Risk MES SRISK%'!F14,"AAAAABL7fcs=")</f>
        <v>#VALUE!</v>
      </c>
      <c r="GW3" t="e">
        <f>AND('Risk MES SRISK%'!G14,"AAAAABL7fcw=")</f>
        <v>#VALUE!</v>
      </c>
      <c r="GX3" t="e">
        <f>AND('Risk MES SRISK%'!H14,"AAAAABL7fc0=")</f>
        <v>#VALUE!</v>
      </c>
      <c r="GY3" t="e">
        <f>AND('Risk MES SRISK%'!I14,"AAAAABL7fc4=")</f>
        <v>#VALUE!</v>
      </c>
      <c r="GZ3" t="e">
        <f>AND('Risk MES SRISK%'!J14,"AAAAABL7fc8=")</f>
        <v>#VALUE!</v>
      </c>
      <c r="HA3" t="e">
        <f>AND('Risk MES SRISK%'!K14,"AAAAABL7fdA=")</f>
        <v>#VALUE!</v>
      </c>
      <c r="HB3" t="e">
        <f>AND('Risk MES SRISK%'!L14,"AAAAABL7fdE=")</f>
        <v>#VALUE!</v>
      </c>
      <c r="HC3" t="e">
        <f>AND('Risk MES SRISK%'!M14,"AAAAABL7fdI=")</f>
        <v>#VALUE!</v>
      </c>
      <c r="HD3" t="e">
        <f>AND('Risk MES SRISK%'!N14,"AAAAABL7fdM=")</f>
        <v>#VALUE!</v>
      </c>
      <c r="HE3" t="e">
        <f>AND('Risk MES SRISK%'!O14,"AAAAABL7fdQ=")</f>
        <v>#VALUE!</v>
      </c>
      <c r="HF3" t="e">
        <f>AND('Risk MES SRISK%'!P14,"AAAAABL7fdU=")</f>
        <v>#VALUE!</v>
      </c>
      <c r="HG3" t="e">
        <f>AND('Risk MES SRISK%'!Q14,"AAAAABL7fdY=")</f>
        <v>#VALUE!</v>
      </c>
      <c r="HH3" t="e">
        <f>AND('Risk MES SRISK%'!R14,"AAAAABL7fdc=")</f>
        <v>#VALUE!</v>
      </c>
      <c r="HI3" t="e">
        <f>AND('Risk MES SRISK%'!S14,"AAAAABL7fdg=")</f>
        <v>#VALUE!</v>
      </c>
      <c r="HJ3" t="e">
        <f>AND('Risk MES SRISK%'!T14,"AAAAABL7fdk=")</f>
        <v>#VALUE!</v>
      </c>
      <c r="HK3" t="e">
        <f>AND('Risk MES SRISK%'!U14,"AAAAABL7fdo=")</f>
        <v>#VALUE!</v>
      </c>
      <c r="HL3" t="e">
        <f>AND('Risk MES SRISK%'!V14,"AAAAABL7fds=")</f>
        <v>#VALUE!</v>
      </c>
      <c r="HM3" t="e">
        <f>AND('Risk MES SRISK%'!W14,"AAAAABL7fdw=")</f>
        <v>#VALUE!</v>
      </c>
      <c r="HN3">
        <f>IF('Risk MES SRISK%'!15:15,"AAAAABL7fd0=",0)</f>
        <v>0</v>
      </c>
      <c r="HO3" t="e">
        <f>AND('Risk MES SRISK%'!B15,"AAAAABL7fd4=")</f>
        <v>#VALUE!</v>
      </c>
      <c r="HP3" t="e">
        <f>AND('Risk MES SRISK%'!C15,"AAAAABL7fd8=")</f>
        <v>#VALUE!</v>
      </c>
      <c r="HQ3" t="e">
        <f>AND('Risk MES SRISK%'!D15,"AAAAABL7feA=")</f>
        <v>#VALUE!</v>
      </c>
      <c r="HR3" t="e">
        <f>AND('Risk MES SRISK%'!E15,"AAAAABL7feE=")</f>
        <v>#VALUE!</v>
      </c>
      <c r="HS3" t="e">
        <f>AND('Risk MES SRISK%'!F15,"AAAAABL7feI=")</f>
        <v>#VALUE!</v>
      </c>
      <c r="HT3" t="e">
        <f>AND('Risk MES SRISK%'!G15,"AAAAABL7feM=")</f>
        <v>#VALUE!</v>
      </c>
      <c r="HU3" t="e">
        <f>AND('Risk MES SRISK%'!H15,"AAAAABL7feQ=")</f>
        <v>#VALUE!</v>
      </c>
      <c r="HV3" t="e">
        <f>AND('Risk MES SRISK%'!I15,"AAAAABL7feU=")</f>
        <v>#VALUE!</v>
      </c>
      <c r="HW3" t="e">
        <f>AND('Risk MES SRISK%'!J15,"AAAAABL7feY=")</f>
        <v>#VALUE!</v>
      </c>
      <c r="HX3" t="e">
        <f>AND('Risk MES SRISK%'!K15,"AAAAABL7fec=")</f>
        <v>#VALUE!</v>
      </c>
      <c r="HY3" t="e">
        <f>AND('Risk MES SRISK%'!L15,"AAAAABL7feg=")</f>
        <v>#VALUE!</v>
      </c>
      <c r="HZ3" t="e">
        <f>AND('Risk MES SRISK%'!M15,"AAAAABL7fek=")</f>
        <v>#VALUE!</v>
      </c>
      <c r="IA3" t="e">
        <f>AND('Risk MES SRISK%'!N15,"AAAAABL7feo=")</f>
        <v>#VALUE!</v>
      </c>
      <c r="IB3" t="e">
        <f>AND('Risk MES SRISK%'!O15,"AAAAABL7fes=")</f>
        <v>#VALUE!</v>
      </c>
      <c r="IC3" t="e">
        <f>AND('Risk MES SRISK%'!P15,"AAAAABL7few=")</f>
        <v>#VALUE!</v>
      </c>
      <c r="ID3" t="e">
        <f>AND('Risk MES SRISK%'!Q15,"AAAAABL7fe0=")</f>
        <v>#VALUE!</v>
      </c>
      <c r="IE3" t="e">
        <f>AND('Risk MES SRISK%'!R15,"AAAAABL7fe4=")</f>
        <v>#VALUE!</v>
      </c>
      <c r="IF3" t="e">
        <f>AND('Risk MES SRISK%'!S15,"AAAAABL7fe8=")</f>
        <v>#VALUE!</v>
      </c>
      <c r="IG3" t="e">
        <f>AND('Risk MES SRISK%'!T15,"AAAAABL7ffA=")</f>
        <v>#VALUE!</v>
      </c>
      <c r="IH3" t="e">
        <f>AND('Risk MES SRISK%'!U15,"AAAAABL7ffE=")</f>
        <v>#VALUE!</v>
      </c>
      <c r="II3" t="e">
        <f>AND('Risk MES SRISK%'!V15,"AAAAABL7ffI=")</f>
        <v>#VALUE!</v>
      </c>
      <c r="IJ3" t="e">
        <f>AND('Risk MES SRISK%'!W15,"AAAAABL7ffM=")</f>
        <v>#VALUE!</v>
      </c>
      <c r="IK3">
        <f>IF('Risk MES SRISK%'!16:16,"AAAAABL7ffQ=",0)</f>
        <v>0</v>
      </c>
      <c r="IL3" t="e">
        <f>AND('Risk MES SRISK%'!B16,"AAAAABL7ffU=")</f>
        <v>#VALUE!</v>
      </c>
      <c r="IM3" t="e">
        <f>AND('Risk MES SRISK%'!C16,"AAAAABL7ffY=")</f>
        <v>#VALUE!</v>
      </c>
      <c r="IN3" t="e">
        <f>AND('Risk MES SRISK%'!D16,"AAAAABL7ffc=")</f>
        <v>#VALUE!</v>
      </c>
      <c r="IO3" t="e">
        <f>AND('Risk MES SRISK%'!E16,"AAAAABL7ffg=")</f>
        <v>#VALUE!</v>
      </c>
      <c r="IP3" t="e">
        <f>AND('Risk MES SRISK%'!F16,"AAAAABL7ffk=")</f>
        <v>#VALUE!</v>
      </c>
      <c r="IQ3" t="e">
        <f>AND('Risk MES SRISK%'!G16,"AAAAABL7ffo=")</f>
        <v>#VALUE!</v>
      </c>
      <c r="IR3" t="e">
        <f>AND('Risk MES SRISK%'!H16,"AAAAABL7ffs=")</f>
        <v>#VALUE!</v>
      </c>
      <c r="IS3" t="e">
        <f>AND('Risk MES SRISK%'!I16,"AAAAABL7ffw=")</f>
        <v>#VALUE!</v>
      </c>
      <c r="IT3" t="e">
        <f>AND('Risk MES SRISK%'!J16,"AAAAABL7ff0=")</f>
        <v>#VALUE!</v>
      </c>
      <c r="IU3" t="e">
        <f>AND('Risk MES SRISK%'!K16,"AAAAABL7ff4=")</f>
        <v>#VALUE!</v>
      </c>
      <c r="IV3" t="e">
        <f>AND('Risk MES SRISK%'!L16,"AAAAABL7ff8=")</f>
        <v>#VALUE!</v>
      </c>
    </row>
    <row r="4" spans="1:256" x14ac:dyDescent="0.25">
      <c r="A4" t="e">
        <f>AND('Risk MES SRISK%'!M16,"AAAAAH9Z9QA=")</f>
        <v>#VALUE!</v>
      </c>
      <c r="B4" t="e">
        <f>AND('Risk MES SRISK%'!N16,"AAAAAH9Z9QE=")</f>
        <v>#VALUE!</v>
      </c>
      <c r="C4" t="e">
        <f>AND('Risk MES SRISK%'!O16,"AAAAAH9Z9QI=")</f>
        <v>#VALUE!</v>
      </c>
      <c r="D4" t="e">
        <f>AND('Risk MES SRISK%'!P16,"AAAAAH9Z9QM=")</f>
        <v>#VALUE!</v>
      </c>
      <c r="E4" t="e">
        <f>AND('Risk MES SRISK%'!Q16,"AAAAAH9Z9QQ=")</f>
        <v>#VALUE!</v>
      </c>
      <c r="F4" t="e">
        <f>AND('Risk MES SRISK%'!R16,"AAAAAH9Z9QU=")</f>
        <v>#VALUE!</v>
      </c>
      <c r="G4" t="e">
        <f>AND('Risk MES SRISK%'!S16,"AAAAAH9Z9QY=")</f>
        <v>#VALUE!</v>
      </c>
      <c r="H4" t="e">
        <f>AND('Risk MES SRISK%'!T16,"AAAAAH9Z9Qc=")</f>
        <v>#VALUE!</v>
      </c>
      <c r="I4" t="e">
        <f>AND('Risk MES SRISK%'!U16,"AAAAAH9Z9Qg=")</f>
        <v>#VALUE!</v>
      </c>
      <c r="J4" t="e">
        <f>AND('Risk MES SRISK%'!V16,"AAAAAH9Z9Qk=")</f>
        <v>#VALUE!</v>
      </c>
      <c r="K4" t="e">
        <f>AND('Risk MES SRISK%'!W16,"AAAAAH9Z9Qo=")</f>
        <v>#VALUE!</v>
      </c>
      <c r="L4">
        <f>IF('Risk MES SRISK%'!17:17,"AAAAAH9Z9Qs=",0)</f>
        <v>0</v>
      </c>
      <c r="M4">
        <f>IF('Risk MES SRISK%'!18:18,"AAAAAH9Z9Qw=",0)</f>
        <v>0</v>
      </c>
      <c r="N4">
        <f>IF('Risk MES SRISK%'!19:19,"AAAAAH9Z9Q0=",0)</f>
        <v>0</v>
      </c>
      <c r="O4">
        <f>IF('Risk MES SRISK%'!20:20,"AAAAAH9Z9Q4=",0)</f>
        <v>0</v>
      </c>
      <c r="P4">
        <f>IF('Risk MES SRISK%'!21:21,"AAAAAH9Z9Q8=",0)</f>
        <v>0</v>
      </c>
      <c r="Q4">
        <f>IF('Risk MES SRISK%'!22:22,"AAAAAH9Z9RA=",0)</f>
        <v>0</v>
      </c>
      <c r="R4">
        <f>IF('Risk MES SRISK%'!23:23,"AAAAAH9Z9RE=",0)</f>
        <v>0</v>
      </c>
      <c r="S4">
        <f>IF('Risk MES SRISK%'!24:24,"AAAAAH9Z9RI=",0)</f>
        <v>0</v>
      </c>
      <c r="T4">
        <f>IF('Risk MES SRISK%'!25:25,"AAAAAH9Z9RM=",0)</f>
        <v>0</v>
      </c>
      <c r="U4">
        <f>IF('Risk MES SRISK%'!26:26,"AAAAAH9Z9RQ=",0)</f>
        <v>0</v>
      </c>
      <c r="V4">
        <f>IF('Risk MES SRISK%'!27:27,"AAAAAH9Z9RU=",0)</f>
        <v>0</v>
      </c>
      <c r="W4">
        <f>IF('Risk MES SRISK%'!28:28,"AAAAAH9Z9RY=",0)</f>
        <v>0</v>
      </c>
      <c r="X4">
        <f>IF('Risk MES SRISK%'!29:29,"AAAAAH9Z9Rc=",0)</f>
        <v>0</v>
      </c>
      <c r="Y4">
        <f>IF('Risk MES SRISK%'!30:30,"AAAAAH9Z9Rg=",0)</f>
        <v>0</v>
      </c>
      <c r="Z4">
        <f>IF('Risk MES SRISK%'!31:31,"AAAAAH9Z9Rk=",0)</f>
        <v>0</v>
      </c>
      <c r="AA4">
        <f>IF('Risk MES SRISK%'!32:32,"AAAAAH9Z9Ro=",0)</f>
        <v>0</v>
      </c>
      <c r="AB4">
        <f>IF('Risk MES SRISK%'!33:33,"AAAAAH9Z9Rs=",0)</f>
        <v>0</v>
      </c>
      <c r="AC4">
        <f>IF('Risk MES SRISK%'!A:A,"AAAAAH9Z9Rw=",0)</f>
        <v>0</v>
      </c>
      <c r="AD4" t="e">
        <f>IF('Risk MES SRISK%'!B:B,"AAAAAH9Z9R0=",0)</f>
        <v>#VALUE!</v>
      </c>
      <c r="AE4">
        <f>IF('Risk MES SRISK%'!C:C,"AAAAAH9Z9R4=",0)</f>
        <v>0</v>
      </c>
      <c r="AF4" t="e">
        <f>IF('Risk MES SRISK%'!D:D,"AAAAAH9Z9R8=",0)</f>
        <v>#VALUE!</v>
      </c>
      <c r="AG4" t="e">
        <f>IF('Risk MES SRISK%'!E:E,"AAAAAH9Z9SA=",0)</f>
        <v>#VALUE!</v>
      </c>
      <c r="AH4" t="e">
        <f>IF('Risk MES SRISK%'!F:F,"AAAAAH9Z9SE=",0)</f>
        <v>#VALUE!</v>
      </c>
      <c r="AI4">
        <f>IF('Risk MES SRISK%'!G:G,"AAAAAH9Z9SI=",0)</f>
        <v>0</v>
      </c>
      <c r="AJ4">
        <f>IF('Risk MES SRISK%'!H:H,"AAAAAH9Z9SM=",0)</f>
        <v>0</v>
      </c>
      <c r="AK4">
        <f>IF('Risk MES SRISK%'!I:I,"AAAAAH9Z9SQ=",0)</f>
        <v>0</v>
      </c>
      <c r="AL4">
        <f>IF('Risk MES SRISK%'!J:J,"AAAAAH9Z9SU=",0)</f>
        <v>0</v>
      </c>
      <c r="AM4">
        <f>IF('Risk MES SRISK%'!K:K,"AAAAAH9Z9SY=",0)</f>
        <v>0</v>
      </c>
      <c r="AN4" t="e">
        <f>IF('Risk MES SRISK%'!L:L,"AAAAAH9Z9Sc=",0)</f>
        <v>#VALUE!</v>
      </c>
      <c r="AO4" t="e">
        <f>IF('Risk MES SRISK%'!M:M,"AAAAAH9Z9Sg=",0)</f>
        <v>#VALUE!</v>
      </c>
      <c r="AP4" t="e">
        <f>IF('Risk MES SRISK%'!N:N,"AAAAAH9Z9Sk=",0)</f>
        <v>#VALUE!</v>
      </c>
      <c r="AQ4" t="e">
        <f>IF('Risk MES SRISK%'!O:O,"AAAAAH9Z9So=",0)</f>
        <v>#VALUE!</v>
      </c>
      <c r="AR4" t="e">
        <f>IF('Risk MES SRISK%'!P:P,"AAAAAH9Z9Ss=",0)</f>
        <v>#VALUE!</v>
      </c>
      <c r="AS4" t="e">
        <f>IF('Risk MES SRISK%'!Q:Q,"AAAAAH9Z9Sw=",0)</f>
        <v>#VALUE!</v>
      </c>
      <c r="AT4">
        <f>IF('Risk MES SRISK%'!R:R,"AAAAAH9Z9S0=",0)</f>
        <v>0</v>
      </c>
      <c r="AU4">
        <f>IF('Risk MES SRISK%'!S:S,"AAAAAH9Z9S4=",0)</f>
        <v>0</v>
      </c>
      <c r="AV4">
        <f>IF('Risk MES SRISK%'!T:T,"AAAAAH9Z9S8=",0)</f>
        <v>0</v>
      </c>
      <c r="AW4">
        <f>IF('Risk MES SRISK%'!U:U,"AAAAAH9Z9TA=",0)</f>
        <v>0</v>
      </c>
      <c r="AX4">
        <f>IF('Risk MES SRISK%'!V:V,"AAAAAH9Z9TE=",0)</f>
        <v>0</v>
      </c>
      <c r="AY4">
        <f>IF('Risk MES SRISK%'!W:W,"AAAAAH9Z9TI=",0)</f>
        <v>0</v>
      </c>
      <c r="AZ4">
        <f>IF('Risk MES LVG'!1:1,"AAAAAH9Z9TM=",0)</f>
        <v>0</v>
      </c>
      <c r="BA4" t="e">
        <f>AND('Risk MES LVG'!B1,"AAAAAH9Z9TQ=")</f>
        <v>#VALUE!</v>
      </c>
      <c r="BB4" t="e">
        <f>AND('Risk MES LVG'!C1,"AAAAAH9Z9TU=")</f>
        <v>#VALUE!</v>
      </c>
      <c r="BC4" t="e">
        <f>AND('Risk MES LVG'!D1,"AAAAAH9Z9TY=")</f>
        <v>#VALUE!</v>
      </c>
      <c r="BD4" t="e">
        <f>AND('Risk MES LVG'!E1,"AAAAAH9Z9Tc=")</f>
        <v>#VALUE!</v>
      </c>
      <c r="BE4" t="e">
        <f>AND('Risk MES LVG'!F1,"AAAAAH9Z9Tg=")</f>
        <v>#VALUE!</v>
      </c>
      <c r="BF4" t="e">
        <f>AND('Risk MES LVG'!G1,"AAAAAH9Z9Tk=")</f>
        <v>#VALUE!</v>
      </c>
      <c r="BG4" t="e">
        <f>AND('Risk MES LVG'!H1,"AAAAAH9Z9To=")</f>
        <v>#VALUE!</v>
      </c>
      <c r="BH4" t="e">
        <f>AND('Risk MES LVG'!I1,"AAAAAH9Z9Ts=")</f>
        <v>#VALUE!</v>
      </c>
      <c r="BI4" t="e">
        <f>AND('Risk MES LVG'!J1,"AAAAAH9Z9Tw=")</f>
        <v>#VALUE!</v>
      </c>
      <c r="BJ4" t="e">
        <f>AND('Risk MES LVG'!K1,"AAAAAH9Z9T0=")</f>
        <v>#VALUE!</v>
      </c>
      <c r="BK4" t="e">
        <f>AND('Risk MES LVG'!L1,"AAAAAH9Z9T4=")</f>
        <v>#VALUE!</v>
      </c>
      <c r="BL4" t="e">
        <f>AND('Risk MES LVG'!M1,"AAAAAH9Z9T8=")</f>
        <v>#VALUE!</v>
      </c>
      <c r="BM4" t="e">
        <f>AND('Risk MES LVG'!N1,"AAAAAH9Z9UA=")</f>
        <v>#VALUE!</v>
      </c>
      <c r="BN4" t="e">
        <f>AND('Risk MES LVG'!O1,"AAAAAH9Z9UE=")</f>
        <v>#VALUE!</v>
      </c>
      <c r="BO4" t="e">
        <f>AND('Risk MES LVG'!P1,"AAAAAH9Z9UI=")</f>
        <v>#VALUE!</v>
      </c>
      <c r="BP4" t="e">
        <f>AND('Risk MES LVG'!Q1,"AAAAAH9Z9UM=")</f>
        <v>#VALUE!</v>
      </c>
      <c r="BQ4" t="e">
        <f>AND('Risk MES LVG'!R1,"AAAAAH9Z9UQ=")</f>
        <v>#VALUE!</v>
      </c>
      <c r="BR4" t="e">
        <f>AND('Risk MES LVG'!S1,"AAAAAH9Z9UU=")</f>
        <v>#VALUE!</v>
      </c>
      <c r="BS4" t="e">
        <f>AND('Risk MES LVG'!T1,"AAAAAH9Z9UY=")</f>
        <v>#VALUE!</v>
      </c>
      <c r="BT4" t="e">
        <f>AND('Risk MES LVG'!U1,"AAAAAH9Z9Uc=")</f>
        <v>#VALUE!</v>
      </c>
      <c r="BU4" t="e">
        <f>AND('Risk MES LVG'!V1,"AAAAAH9Z9Ug=")</f>
        <v>#VALUE!</v>
      </c>
      <c r="BV4" t="e">
        <f>AND('Risk MES LVG'!W1,"AAAAAH9Z9Uk=")</f>
        <v>#VALUE!</v>
      </c>
      <c r="BW4">
        <f>IF('Risk MES LVG'!2:2,"AAAAAH9Z9Uo=",0)</f>
        <v>0</v>
      </c>
      <c r="BX4" t="e">
        <f>AND('Risk MES LVG'!B2,"AAAAAH9Z9Us=")</f>
        <v>#VALUE!</v>
      </c>
      <c r="BY4" t="e">
        <f>AND('Risk MES LVG'!C2,"AAAAAH9Z9Uw=")</f>
        <v>#VALUE!</v>
      </c>
      <c r="BZ4" t="e">
        <f>AND('Risk MES LVG'!D2,"AAAAAH9Z9U0=")</f>
        <v>#VALUE!</v>
      </c>
      <c r="CA4" t="e">
        <f>AND('Risk MES LVG'!E2,"AAAAAH9Z9U4=")</f>
        <v>#VALUE!</v>
      </c>
      <c r="CB4" t="e">
        <f>AND('Risk MES LVG'!F2,"AAAAAH9Z9U8=")</f>
        <v>#VALUE!</v>
      </c>
      <c r="CC4" t="e">
        <f>AND('Risk MES LVG'!G2,"AAAAAH9Z9VA=")</f>
        <v>#VALUE!</v>
      </c>
      <c r="CD4" t="e">
        <f>AND('Risk MES LVG'!H2,"AAAAAH9Z9VE=")</f>
        <v>#VALUE!</v>
      </c>
      <c r="CE4" t="e">
        <f>AND('Risk MES LVG'!I2,"AAAAAH9Z9VI=")</f>
        <v>#VALUE!</v>
      </c>
      <c r="CF4" t="e">
        <f>AND('Risk MES LVG'!J2,"AAAAAH9Z9VM=")</f>
        <v>#VALUE!</v>
      </c>
      <c r="CG4" t="e">
        <f>AND('Risk MES LVG'!K2,"AAAAAH9Z9VQ=")</f>
        <v>#VALUE!</v>
      </c>
      <c r="CH4" t="e">
        <f>AND('Risk MES LVG'!L2,"AAAAAH9Z9VU=")</f>
        <v>#VALUE!</v>
      </c>
      <c r="CI4" t="e">
        <f>AND('Risk MES LVG'!M2,"AAAAAH9Z9VY=")</f>
        <v>#VALUE!</v>
      </c>
      <c r="CJ4" t="e">
        <f>AND('Risk MES LVG'!N2,"AAAAAH9Z9Vc=")</f>
        <v>#VALUE!</v>
      </c>
      <c r="CK4" t="e">
        <f>AND('Risk MES LVG'!O2,"AAAAAH9Z9Vg=")</f>
        <v>#VALUE!</v>
      </c>
      <c r="CL4" t="e">
        <f>AND('Risk MES LVG'!P2,"AAAAAH9Z9Vk=")</f>
        <v>#VALUE!</v>
      </c>
      <c r="CM4" t="e">
        <f>AND('Risk MES LVG'!Q2,"AAAAAH9Z9Vo=")</f>
        <v>#VALUE!</v>
      </c>
      <c r="CN4" t="e">
        <f>AND('Risk MES LVG'!R2,"AAAAAH9Z9Vs=")</f>
        <v>#VALUE!</v>
      </c>
      <c r="CO4" t="e">
        <f>AND('Risk MES LVG'!S2,"AAAAAH9Z9Vw=")</f>
        <v>#VALUE!</v>
      </c>
      <c r="CP4" t="e">
        <f>AND('Risk MES LVG'!T2,"AAAAAH9Z9V0=")</f>
        <v>#VALUE!</v>
      </c>
      <c r="CQ4" t="e">
        <f>AND('Risk MES LVG'!U2,"AAAAAH9Z9V4=")</f>
        <v>#VALUE!</v>
      </c>
      <c r="CR4" t="e">
        <f>AND('Risk MES LVG'!V2,"AAAAAH9Z9V8=")</f>
        <v>#VALUE!</v>
      </c>
      <c r="CS4" t="e">
        <f>AND('Risk MES LVG'!W2,"AAAAAH9Z9WA=")</f>
        <v>#VALUE!</v>
      </c>
      <c r="CT4">
        <f>IF('Risk MES LVG'!3:3,"AAAAAH9Z9WE=",0)</f>
        <v>0</v>
      </c>
      <c r="CU4" t="e">
        <f>AND('Risk MES LVG'!B3,"AAAAAH9Z9WI=")</f>
        <v>#VALUE!</v>
      </c>
      <c r="CV4" t="e">
        <f>AND('Risk MES LVG'!C3,"AAAAAH9Z9WM=")</f>
        <v>#VALUE!</v>
      </c>
      <c r="CW4" t="e">
        <f>AND('Risk MES LVG'!D3,"AAAAAH9Z9WQ=")</f>
        <v>#VALUE!</v>
      </c>
      <c r="CX4" t="e">
        <f>AND('Risk MES LVG'!E3,"AAAAAH9Z9WU=")</f>
        <v>#VALUE!</v>
      </c>
      <c r="CY4" t="e">
        <f>AND('Risk MES LVG'!F3,"AAAAAH9Z9WY=")</f>
        <v>#VALUE!</v>
      </c>
      <c r="CZ4" t="e">
        <f>AND('Risk MES LVG'!G3,"AAAAAH9Z9Wc=")</f>
        <v>#VALUE!</v>
      </c>
      <c r="DA4" t="e">
        <f>AND('Risk MES LVG'!H3,"AAAAAH9Z9Wg=")</f>
        <v>#VALUE!</v>
      </c>
      <c r="DB4" t="e">
        <f>AND('Risk MES LVG'!I3,"AAAAAH9Z9Wk=")</f>
        <v>#VALUE!</v>
      </c>
      <c r="DC4" t="e">
        <f>AND('Risk MES LVG'!J3,"AAAAAH9Z9Wo=")</f>
        <v>#VALUE!</v>
      </c>
      <c r="DD4" t="e">
        <f>AND('Risk MES LVG'!K3,"AAAAAH9Z9Ws=")</f>
        <v>#VALUE!</v>
      </c>
      <c r="DE4" t="e">
        <f>AND('Risk MES LVG'!L3,"AAAAAH9Z9Ww=")</f>
        <v>#VALUE!</v>
      </c>
      <c r="DF4" t="e">
        <f>AND('Risk MES LVG'!M3,"AAAAAH9Z9W0=")</f>
        <v>#VALUE!</v>
      </c>
      <c r="DG4" t="e">
        <f>AND('Risk MES LVG'!N3,"AAAAAH9Z9W4=")</f>
        <v>#VALUE!</v>
      </c>
      <c r="DH4" t="e">
        <f>AND('Risk MES LVG'!O3,"AAAAAH9Z9W8=")</f>
        <v>#VALUE!</v>
      </c>
      <c r="DI4" t="e">
        <f>AND('Risk MES LVG'!P3,"AAAAAH9Z9XA=")</f>
        <v>#VALUE!</v>
      </c>
      <c r="DJ4" t="e">
        <f>AND('Risk MES LVG'!Q3,"AAAAAH9Z9XE=")</f>
        <v>#VALUE!</v>
      </c>
      <c r="DK4" t="e">
        <f>AND('Risk MES LVG'!R3,"AAAAAH9Z9XI=")</f>
        <v>#VALUE!</v>
      </c>
      <c r="DL4" t="e">
        <f>AND('Risk MES LVG'!S3,"AAAAAH9Z9XM=")</f>
        <v>#VALUE!</v>
      </c>
      <c r="DM4" t="e">
        <f>AND('Risk MES LVG'!T3,"AAAAAH9Z9XQ=")</f>
        <v>#VALUE!</v>
      </c>
      <c r="DN4" t="e">
        <f>AND('Risk MES LVG'!U3,"AAAAAH9Z9XU=")</f>
        <v>#VALUE!</v>
      </c>
      <c r="DO4" t="e">
        <f>AND('Risk MES LVG'!V3,"AAAAAH9Z9XY=")</f>
        <v>#VALUE!</v>
      </c>
      <c r="DP4" t="e">
        <f>AND('Risk MES LVG'!W3,"AAAAAH9Z9Xc=")</f>
        <v>#VALUE!</v>
      </c>
      <c r="DQ4">
        <f>IF('Risk MES LVG'!4:4,"AAAAAH9Z9Xg=",0)</f>
        <v>0</v>
      </c>
      <c r="DR4" t="e">
        <f>AND('Risk MES LVG'!B4,"AAAAAH9Z9Xk=")</f>
        <v>#VALUE!</v>
      </c>
      <c r="DS4" t="e">
        <f>AND('Risk MES LVG'!C4,"AAAAAH9Z9Xo=")</f>
        <v>#VALUE!</v>
      </c>
      <c r="DT4" t="e">
        <f>AND('Risk MES LVG'!D4,"AAAAAH9Z9Xs=")</f>
        <v>#VALUE!</v>
      </c>
      <c r="DU4" t="e">
        <f>AND('Risk MES LVG'!E4,"AAAAAH9Z9Xw=")</f>
        <v>#VALUE!</v>
      </c>
      <c r="DV4" t="e">
        <f>AND('Risk MES LVG'!F4,"AAAAAH9Z9X0=")</f>
        <v>#VALUE!</v>
      </c>
      <c r="DW4" t="e">
        <f>AND('Risk MES LVG'!G4,"AAAAAH9Z9X4=")</f>
        <v>#VALUE!</v>
      </c>
      <c r="DX4" t="e">
        <f>AND('Risk MES LVG'!H4,"AAAAAH9Z9X8=")</f>
        <v>#VALUE!</v>
      </c>
      <c r="DY4" t="e">
        <f>AND('Risk MES LVG'!I4,"AAAAAH9Z9YA=")</f>
        <v>#VALUE!</v>
      </c>
      <c r="DZ4" t="e">
        <f>AND('Risk MES LVG'!J4,"AAAAAH9Z9YE=")</f>
        <v>#VALUE!</v>
      </c>
      <c r="EA4" t="e">
        <f>AND('Risk MES LVG'!K4,"AAAAAH9Z9YI=")</f>
        <v>#VALUE!</v>
      </c>
      <c r="EB4" t="e">
        <f>AND('Risk MES LVG'!L4,"AAAAAH9Z9YM=")</f>
        <v>#VALUE!</v>
      </c>
      <c r="EC4" t="e">
        <f>AND('Risk MES LVG'!M4,"AAAAAH9Z9YQ=")</f>
        <v>#VALUE!</v>
      </c>
      <c r="ED4" t="e">
        <f>AND('Risk MES LVG'!N4,"AAAAAH9Z9YU=")</f>
        <v>#VALUE!</v>
      </c>
      <c r="EE4" t="e">
        <f>AND('Risk MES LVG'!O4,"AAAAAH9Z9YY=")</f>
        <v>#VALUE!</v>
      </c>
      <c r="EF4" t="e">
        <f>AND('Risk MES LVG'!P4,"AAAAAH9Z9Yc=")</f>
        <v>#VALUE!</v>
      </c>
      <c r="EG4" t="e">
        <f>AND('Risk MES LVG'!Q4,"AAAAAH9Z9Yg=")</f>
        <v>#VALUE!</v>
      </c>
      <c r="EH4" t="e">
        <f>AND('Risk MES LVG'!R4,"AAAAAH9Z9Yk=")</f>
        <v>#VALUE!</v>
      </c>
      <c r="EI4" t="e">
        <f>AND('Risk MES LVG'!S4,"AAAAAH9Z9Yo=")</f>
        <v>#VALUE!</v>
      </c>
      <c r="EJ4" t="e">
        <f>AND('Risk MES LVG'!T4,"AAAAAH9Z9Ys=")</f>
        <v>#VALUE!</v>
      </c>
      <c r="EK4" t="e">
        <f>AND('Risk MES LVG'!U4,"AAAAAH9Z9Yw=")</f>
        <v>#VALUE!</v>
      </c>
      <c r="EL4" t="e">
        <f>AND('Risk MES LVG'!V4,"AAAAAH9Z9Y0=")</f>
        <v>#VALUE!</v>
      </c>
      <c r="EM4" t="e">
        <f>AND('Risk MES LVG'!W4,"AAAAAH9Z9Y4=")</f>
        <v>#VALUE!</v>
      </c>
      <c r="EN4">
        <f>IF('Risk MES LVG'!5:5,"AAAAAH9Z9Y8=",0)</f>
        <v>0</v>
      </c>
      <c r="EO4" t="e">
        <f>AND('Risk MES LVG'!B5,"AAAAAH9Z9ZA=")</f>
        <v>#VALUE!</v>
      </c>
      <c r="EP4" t="e">
        <f>AND('Risk MES LVG'!C5,"AAAAAH9Z9ZE=")</f>
        <v>#VALUE!</v>
      </c>
      <c r="EQ4" t="e">
        <f>AND('Risk MES LVG'!D5,"AAAAAH9Z9ZI=")</f>
        <v>#VALUE!</v>
      </c>
      <c r="ER4" t="e">
        <f>AND('Risk MES LVG'!E5,"AAAAAH9Z9ZM=")</f>
        <v>#VALUE!</v>
      </c>
      <c r="ES4" t="e">
        <f>AND('Risk MES LVG'!F5,"AAAAAH9Z9ZQ=")</f>
        <v>#VALUE!</v>
      </c>
      <c r="ET4" t="e">
        <f>AND('Risk MES LVG'!G5,"AAAAAH9Z9ZU=")</f>
        <v>#VALUE!</v>
      </c>
      <c r="EU4" t="e">
        <f>AND('Risk MES LVG'!H5,"AAAAAH9Z9ZY=")</f>
        <v>#VALUE!</v>
      </c>
      <c r="EV4" t="e">
        <f>AND('Risk MES LVG'!I5,"AAAAAH9Z9Zc=")</f>
        <v>#VALUE!</v>
      </c>
      <c r="EW4" t="e">
        <f>AND('Risk MES LVG'!J5,"AAAAAH9Z9Zg=")</f>
        <v>#VALUE!</v>
      </c>
      <c r="EX4" t="e">
        <f>AND('Risk MES LVG'!K5,"AAAAAH9Z9Zk=")</f>
        <v>#VALUE!</v>
      </c>
      <c r="EY4" t="e">
        <f>AND('Risk MES LVG'!L5,"AAAAAH9Z9Zo=")</f>
        <v>#VALUE!</v>
      </c>
      <c r="EZ4" t="e">
        <f>AND('Risk MES LVG'!M5,"AAAAAH9Z9Zs=")</f>
        <v>#VALUE!</v>
      </c>
      <c r="FA4" t="e">
        <f>AND('Risk MES LVG'!N5,"AAAAAH9Z9Zw=")</f>
        <v>#VALUE!</v>
      </c>
      <c r="FB4" t="e">
        <f>AND('Risk MES LVG'!O5,"AAAAAH9Z9Z0=")</f>
        <v>#VALUE!</v>
      </c>
      <c r="FC4" t="e">
        <f>AND('Risk MES LVG'!P5,"AAAAAH9Z9Z4=")</f>
        <v>#VALUE!</v>
      </c>
      <c r="FD4" t="e">
        <f>AND('Risk MES LVG'!Q5,"AAAAAH9Z9Z8=")</f>
        <v>#VALUE!</v>
      </c>
      <c r="FE4" t="e">
        <f>AND('Risk MES LVG'!R5,"AAAAAH9Z9aA=")</f>
        <v>#VALUE!</v>
      </c>
      <c r="FF4" t="e">
        <f>AND('Risk MES LVG'!S5,"AAAAAH9Z9aE=")</f>
        <v>#VALUE!</v>
      </c>
      <c r="FG4" t="e">
        <f>AND('Risk MES LVG'!T5,"AAAAAH9Z9aI=")</f>
        <v>#VALUE!</v>
      </c>
      <c r="FH4" t="e">
        <f>AND('Risk MES LVG'!U5,"AAAAAH9Z9aM=")</f>
        <v>#VALUE!</v>
      </c>
      <c r="FI4" t="e">
        <f>AND('Risk MES LVG'!V5,"AAAAAH9Z9aQ=")</f>
        <v>#VALUE!</v>
      </c>
      <c r="FJ4" t="e">
        <f>AND('Risk MES LVG'!W5,"AAAAAH9Z9aU=")</f>
        <v>#VALUE!</v>
      </c>
      <c r="FK4">
        <f>IF('Risk MES LVG'!6:6,"AAAAAH9Z9aY=",0)</f>
        <v>0</v>
      </c>
      <c r="FL4" t="e">
        <f>AND('Risk MES LVG'!B6,"AAAAAH9Z9ac=")</f>
        <v>#VALUE!</v>
      </c>
      <c r="FM4" t="e">
        <f>AND('Risk MES LVG'!C6,"AAAAAH9Z9ag=")</f>
        <v>#VALUE!</v>
      </c>
      <c r="FN4" t="e">
        <f>AND('Risk MES LVG'!D6,"AAAAAH9Z9ak=")</f>
        <v>#VALUE!</v>
      </c>
      <c r="FO4" t="e">
        <f>AND('Risk MES LVG'!E6,"AAAAAH9Z9ao=")</f>
        <v>#VALUE!</v>
      </c>
      <c r="FP4" t="e">
        <f>AND('Risk MES LVG'!F6,"AAAAAH9Z9as=")</f>
        <v>#VALUE!</v>
      </c>
      <c r="FQ4" t="e">
        <f>AND('Risk MES LVG'!G6,"AAAAAH9Z9aw=")</f>
        <v>#VALUE!</v>
      </c>
      <c r="FR4" t="e">
        <f>AND('Risk MES LVG'!H6,"AAAAAH9Z9a0=")</f>
        <v>#VALUE!</v>
      </c>
      <c r="FS4" t="e">
        <f>AND('Risk MES LVG'!I6,"AAAAAH9Z9a4=")</f>
        <v>#VALUE!</v>
      </c>
      <c r="FT4" t="e">
        <f>AND('Risk MES LVG'!J6,"AAAAAH9Z9a8=")</f>
        <v>#VALUE!</v>
      </c>
      <c r="FU4" t="e">
        <f>AND('Risk MES LVG'!K6,"AAAAAH9Z9bA=")</f>
        <v>#VALUE!</v>
      </c>
      <c r="FV4" t="e">
        <f>AND('Risk MES LVG'!L6,"AAAAAH9Z9bE=")</f>
        <v>#VALUE!</v>
      </c>
      <c r="FW4" t="e">
        <f>AND('Risk MES LVG'!M6,"AAAAAH9Z9bI=")</f>
        <v>#VALUE!</v>
      </c>
      <c r="FX4" t="e">
        <f>AND('Risk MES LVG'!N6,"AAAAAH9Z9bM=")</f>
        <v>#VALUE!</v>
      </c>
      <c r="FY4" t="e">
        <f>AND('Risk MES LVG'!O6,"AAAAAH9Z9bQ=")</f>
        <v>#VALUE!</v>
      </c>
      <c r="FZ4" t="e">
        <f>AND('Risk MES LVG'!P6,"AAAAAH9Z9bU=")</f>
        <v>#VALUE!</v>
      </c>
      <c r="GA4" t="e">
        <f>AND('Risk MES LVG'!Q6,"AAAAAH9Z9bY=")</f>
        <v>#VALUE!</v>
      </c>
      <c r="GB4" t="e">
        <f>AND('Risk MES LVG'!R6,"AAAAAH9Z9bc=")</f>
        <v>#VALUE!</v>
      </c>
      <c r="GC4" t="e">
        <f>AND('Risk MES LVG'!S6,"AAAAAH9Z9bg=")</f>
        <v>#VALUE!</v>
      </c>
      <c r="GD4" t="e">
        <f>AND('Risk MES LVG'!T6,"AAAAAH9Z9bk=")</f>
        <v>#VALUE!</v>
      </c>
      <c r="GE4" t="e">
        <f>AND('Risk MES LVG'!U6,"AAAAAH9Z9bo=")</f>
        <v>#VALUE!</v>
      </c>
      <c r="GF4" t="e">
        <f>AND('Risk MES LVG'!V6,"AAAAAH9Z9bs=")</f>
        <v>#VALUE!</v>
      </c>
      <c r="GG4" t="e">
        <f>AND('Risk MES LVG'!W6,"AAAAAH9Z9bw=")</f>
        <v>#VALUE!</v>
      </c>
      <c r="GH4">
        <f>IF('Risk MES LVG'!7:7,"AAAAAH9Z9b0=",0)</f>
        <v>0</v>
      </c>
      <c r="GI4" t="e">
        <f>AND('Risk MES LVG'!B7,"AAAAAH9Z9b4=")</f>
        <v>#VALUE!</v>
      </c>
      <c r="GJ4" t="e">
        <f>AND('Risk MES LVG'!C7,"AAAAAH9Z9b8=")</f>
        <v>#VALUE!</v>
      </c>
      <c r="GK4" t="e">
        <f>AND('Risk MES LVG'!D7,"AAAAAH9Z9cA=")</f>
        <v>#VALUE!</v>
      </c>
      <c r="GL4" t="e">
        <f>AND('Risk MES LVG'!E7,"AAAAAH9Z9cE=")</f>
        <v>#VALUE!</v>
      </c>
      <c r="GM4" t="e">
        <f>AND('Risk MES LVG'!F7,"AAAAAH9Z9cI=")</f>
        <v>#VALUE!</v>
      </c>
      <c r="GN4" t="e">
        <f>AND('Risk MES LVG'!G7,"AAAAAH9Z9cM=")</f>
        <v>#VALUE!</v>
      </c>
      <c r="GO4" t="e">
        <f>AND('Risk MES LVG'!H7,"AAAAAH9Z9cQ=")</f>
        <v>#VALUE!</v>
      </c>
      <c r="GP4" t="e">
        <f>AND('Risk MES LVG'!I7,"AAAAAH9Z9cU=")</f>
        <v>#VALUE!</v>
      </c>
      <c r="GQ4" t="e">
        <f>AND('Risk MES LVG'!J7,"AAAAAH9Z9cY=")</f>
        <v>#VALUE!</v>
      </c>
      <c r="GR4" t="e">
        <f>AND('Risk MES LVG'!K7,"AAAAAH9Z9cc=")</f>
        <v>#VALUE!</v>
      </c>
      <c r="GS4" t="e">
        <f>AND('Risk MES LVG'!L7,"AAAAAH9Z9cg=")</f>
        <v>#VALUE!</v>
      </c>
      <c r="GT4" t="e">
        <f>AND('Risk MES LVG'!M7,"AAAAAH9Z9ck=")</f>
        <v>#VALUE!</v>
      </c>
      <c r="GU4" t="e">
        <f>AND('Risk MES LVG'!N7,"AAAAAH9Z9co=")</f>
        <v>#VALUE!</v>
      </c>
      <c r="GV4" t="e">
        <f>AND('Risk MES LVG'!O7,"AAAAAH9Z9cs=")</f>
        <v>#VALUE!</v>
      </c>
      <c r="GW4" t="e">
        <f>AND('Risk MES LVG'!P7,"AAAAAH9Z9cw=")</f>
        <v>#VALUE!</v>
      </c>
      <c r="GX4" t="e">
        <f>AND('Risk MES LVG'!Q7,"AAAAAH9Z9c0=")</f>
        <v>#VALUE!</v>
      </c>
      <c r="GY4" t="e">
        <f>AND('Risk MES LVG'!R7,"AAAAAH9Z9c4=")</f>
        <v>#VALUE!</v>
      </c>
      <c r="GZ4" t="e">
        <f>AND('Risk MES LVG'!S7,"AAAAAH9Z9c8=")</f>
        <v>#VALUE!</v>
      </c>
      <c r="HA4" t="e">
        <f>AND('Risk MES LVG'!T7,"AAAAAH9Z9dA=")</f>
        <v>#VALUE!</v>
      </c>
      <c r="HB4" t="e">
        <f>AND('Risk MES LVG'!U7,"AAAAAH9Z9dE=")</f>
        <v>#VALUE!</v>
      </c>
      <c r="HC4" t="e">
        <f>AND('Risk MES LVG'!V7,"AAAAAH9Z9dI=")</f>
        <v>#VALUE!</v>
      </c>
      <c r="HD4" t="e">
        <f>AND('Risk MES LVG'!W7,"AAAAAH9Z9dM=")</f>
        <v>#VALUE!</v>
      </c>
      <c r="HE4">
        <f>IF('Risk MES LVG'!8:8,"AAAAAH9Z9dQ=",0)</f>
        <v>0</v>
      </c>
      <c r="HF4" t="e">
        <f>AND('Risk MES LVG'!B8,"AAAAAH9Z9dU=")</f>
        <v>#VALUE!</v>
      </c>
      <c r="HG4" t="e">
        <f>AND('Risk MES LVG'!C8,"AAAAAH9Z9dY=")</f>
        <v>#VALUE!</v>
      </c>
      <c r="HH4" t="e">
        <f>AND('Risk MES LVG'!D8,"AAAAAH9Z9dc=")</f>
        <v>#VALUE!</v>
      </c>
      <c r="HI4" t="e">
        <f>AND('Risk MES LVG'!E8,"AAAAAH9Z9dg=")</f>
        <v>#VALUE!</v>
      </c>
      <c r="HJ4" t="e">
        <f>AND('Risk MES LVG'!F8,"AAAAAH9Z9dk=")</f>
        <v>#VALUE!</v>
      </c>
      <c r="HK4" t="e">
        <f>AND('Risk MES LVG'!G8,"AAAAAH9Z9do=")</f>
        <v>#VALUE!</v>
      </c>
      <c r="HL4" t="e">
        <f>AND('Risk MES LVG'!H8,"AAAAAH9Z9ds=")</f>
        <v>#VALUE!</v>
      </c>
      <c r="HM4" t="e">
        <f>AND('Risk MES LVG'!I8,"AAAAAH9Z9dw=")</f>
        <v>#VALUE!</v>
      </c>
      <c r="HN4" t="e">
        <f>AND('Risk MES LVG'!J8,"AAAAAH9Z9d0=")</f>
        <v>#VALUE!</v>
      </c>
      <c r="HO4" t="e">
        <f>AND('Risk MES LVG'!K8,"AAAAAH9Z9d4=")</f>
        <v>#VALUE!</v>
      </c>
      <c r="HP4" t="e">
        <f>AND('Risk MES LVG'!L8,"AAAAAH9Z9d8=")</f>
        <v>#VALUE!</v>
      </c>
      <c r="HQ4" t="e">
        <f>AND('Risk MES LVG'!M8,"AAAAAH9Z9eA=")</f>
        <v>#VALUE!</v>
      </c>
      <c r="HR4" t="e">
        <f>AND('Risk MES LVG'!N8,"AAAAAH9Z9eE=")</f>
        <v>#VALUE!</v>
      </c>
      <c r="HS4" t="e">
        <f>AND('Risk MES LVG'!O8,"AAAAAH9Z9eI=")</f>
        <v>#VALUE!</v>
      </c>
      <c r="HT4" t="e">
        <f>AND('Risk MES LVG'!P8,"AAAAAH9Z9eM=")</f>
        <v>#VALUE!</v>
      </c>
      <c r="HU4" t="e">
        <f>AND('Risk MES LVG'!Q8,"AAAAAH9Z9eQ=")</f>
        <v>#VALUE!</v>
      </c>
      <c r="HV4" t="e">
        <f>AND('Risk MES LVG'!R8,"AAAAAH9Z9eU=")</f>
        <v>#VALUE!</v>
      </c>
      <c r="HW4" t="e">
        <f>AND('Risk MES LVG'!S8,"AAAAAH9Z9eY=")</f>
        <v>#VALUE!</v>
      </c>
      <c r="HX4" t="e">
        <f>AND('Risk MES LVG'!T8,"AAAAAH9Z9ec=")</f>
        <v>#VALUE!</v>
      </c>
      <c r="HY4" t="e">
        <f>AND('Risk MES LVG'!U8,"AAAAAH9Z9eg=")</f>
        <v>#VALUE!</v>
      </c>
      <c r="HZ4" t="e">
        <f>AND('Risk MES LVG'!V8,"AAAAAH9Z9ek=")</f>
        <v>#VALUE!</v>
      </c>
      <c r="IA4" t="e">
        <f>AND('Risk MES LVG'!W8,"AAAAAH9Z9eo=")</f>
        <v>#VALUE!</v>
      </c>
      <c r="IB4">
        <f>IF('Risk MES LVG'!9:9,"AAAAAH9Z9es=",0)</f>
        <v>0</v>
      </c>
      <c r="IC4" t="e">
        <f>AND('Risk MES LVG'!B9,"AAAAAH9Z9ew=")</f>
        <v>#VALUE!</v>
      </c>
      <c r="ID4" t="e">
        <f>AND('Risk MES LVG'!C9,"AAAAAH9Z9e0=")</f>
        <v>#VALUE!</v>
      </c>
      <c r="IE4" t="e">
        <f>AND('Risk MES LVG'!D9,"AAAAAH9Z9e4=")</f>
        <v>#VALUE!</v>
      </c>
      <c r="IF4" t="e">
        <f>AND('Risk MES LVG'!E9,"AAAAAH9Z9e8=")</f>
        <v>#VALUE!</v>
      </c>
      <c r="IG4" t="e">
        <f>AND('Risk MES LVG'!F9,"AAAAAH9Z9fA=")</f>
        <v>#VALUE!</v>
      </c>
      <c r="IH4" t="e">
        <f>AND('Risk MES LVG'!G9,"AAAAAH9Z9fE=")</f>
        <v>#VALUE!</v>
      </c>
      <c r="II4" t="e">
        <f>AND('Risk MES LVG'!H9,"AAAAAH9Z9fI=")</f>
        <v>#VALUE!</v>
      </c>
      <c r="IJ4" t="e">
        <f>AND('Risk MES LVG'!I9,"AAAAAH9Z9fM=")</f>
        <v>#VALUE!</v>
      </c>
      <c r="IK4" t="e">
        <f>AND('Risk MES LVG'!J9,"AAAAAH9Z9fQ=")</f>
        <v>#VALUE!</v>
      </c>
      <c r="IL4" t="e">
        <f>AND('Risk MES LVG'!K9,"AAAAAH9Z9fU=")</f>
        <v>#VALUE!</v>
      </c>
      <c r="IM4" t="e">
        <f>AND('Risk MES LVG'!L9,"AAAAAH9Z9fY=")</f>
        <v>#VALUE!</v>
      </c>
      <c r="IN4" t="e">
        <f>AND('Risk MES LVG'!M9,"AAAAAH9Z9fc=")</f>
        <v>#VALUE!</v>
      </c>
      <c r="IO4" t="e">
        <f>AND('Risk MES LVG'!N9,"AAAAAH9Z9fg=")</f>
        <v>#VALUE!</v>
      </c>
      <c r="IP4" t="e">
        <f>AND('Risk MES LVG'!O9,"AAAAAH9Z9fk=")</f>
        <v>#VALUE!</v>
      </c>
      <c r="IQ4" t="e">
        <f>AND('Risk MES LVG'!P9,"AAAAAH9Z9fo=")</f>
        <v>#VALUE!</v>
      </c>
      <c r="IR4" t="e">
        <f>AND('Risk MES LVG'!Q9,"AAAAAH9Z9fs=")</f>
        <v>#VALUE!</v>
      </c>
      <c r="IS4" t="e">
        <f>AND('Risk MES LVG'!R9,"AAAAAH9Z9fw=")</f>
        <v>#VALUE!</v>
      </c>
      <c r="IT4" t="e">
        <f>AND('Risk MES LVG'!S9,"AAAAAH9Z9f0=")</f>
        <v>#VALUE!</v>
      </c>
      <c r="IU4" t="e">
        <f>AND('Risk MES LVG'!T9,"AAAAAH9Z9f4=")</f>
        <v>#VALUE!</v>
      </c>
      <c r="IV4" t="e">
        <f>AND('Risk MES LVG'!U9,"AAAAAH9Z9f8=")</f>
        <v>#VALUE!</v>
      </c>
    </row>
    <row r="5" spans="1:256" x14ac:dyDescent="0.25">
      <c r="A5" t="e">
        <f>AND('Risk MES LVG'!V9,"AAAAAGf/fwA=")</f>
        <v>#VALUE!</v>
      </c>
      <c r="B5" t="e">
        <f>AND('Risk MES LVG'!W9,"AAAAAGf/fwE=")</f>
        <v>#VALUE!</v>
      </c>
      <c r="C5">
        <f>IF('Risk MES LVG'!10:10,"AAAAAGf/fwI=",0)</f>
        <v>0</v>
      </c>
      <c r="D5" t="e">
        <f>AND('Risk MES LVG'!B10,"AAAAAGf/fwM=")</f>
        <v>#VALUE!</v>
      </c>
      <c r="E5" t="e">
        <f>AND('Risk MES LVG'!C10,"AAAAAGf/fwQ=")</f>
        <v>#VALUE!</v>
      </c>
      <c r="F5" t="e">
        <f>AND('Risk MES LVG'!D10,"AAAAAGf/fwU=")</f>
        <v>#VALUE!</v>
      </c>
      <c r="G5" t="e">
        <f>AND('Risk MES LVG'!E10,"AAAAAGf/fwY=")</f>
        <v>#VALUE!</v>
      </c>
      <c r="H5" t="e">
        <f>AND('Risk MES LVG'!F10,"AAAAAGf/fwc=")</f>
        <v>#VALUE!</v>
      </c>
      <c r="I5" t="e">
        <f>AND('Risk MES LVG'!G10,"AAAAAGf/fwg=")</f>
        <v>#VALUE!</v>
      </c>
      <c r="J5" t="e">
        <f>AND('Risk MES LVG'!H10,"AAAAAGf/fwk=")</f>
        <v>#VALUE!</v>
      </c>
      <c r="K5" t="e">
        <f>AND('Risk MES LVG'!I10,"AAAAAGf/fwo=")</f>
        <v>#VALUE!</v>
      </c>
      <c r="L5" t="e">
        <f>AND('Risk MES LVG'!J10,"AAAAAGf/fws=")</f>
        <v>#VALUE!</v>
      </c>
      <c r="M5" t="e">
        <f>AND('Risk MES LVG'!K10,"AAAAAGf/fww=")</f>
        <v>#VALUE!</v>
      </c>
      <c r="N5" t="e">
        <f>AND('Risk MES LVG'!L10,"AAAAAGf/fw0=")</f>
        <v>#VALUE!</v>
      </c>
      <c r="O5" t="e">
        <f>AND('Risk MES LVG'!M10,"AAAAAGf/fw4=")</f>
        <v>#VALUE!</v>
      </c>
      <c r="P5" t="e">
        <f>AND('Risk MES LVG'!N10,"AAAAAGf/fw8=")</f>
        <v>#VALUE!</v>
      </c>
      <c r="Q5" t="e">
        <f>AND('Risk MES LVG'!O10,"AAAAAGf/fxA=")</f>
        <v>#VALUE!</v>
      </c>
      <c r="R5" t="e">
        <f>AND('Risk MES LVG'!P10,"AAAAAGf/fxE=")</f>
        <v>#VALUE!</v>
      </c>
      <c r="S5" t="e">
        <f>AND('Risk MES LVG'!Q10,"AAAAAGf/fxI=")</f>
        <v>#VALUE!</v>
      </c>
      <c r="T5" t="e">
        <f>AND('Risk MES LVG'!R10,"AAAAAGf/fxM=")</f>
        <v>#VALUE!</v>
      </c>
      <c r="U5" t="e">
        <f>AND('Risk MES LVG'!S10,"AAAAAGf/fxQ=")</f>
        <v>#VALUE!</v>
      </c>
      <c r="V5" t="e">
        <f>AND('Risk MES LVG'!T10,"AAAAAGf/fxU=")</f>
        <v>#VALUE!</v>
      </c>
      <c r="W5" t="e">
        <f>AND('Risk MES LVG'!U10,"AAAAAGf/fxY=")</f>
        <v>#VALUE!</v>
      </c>
      <c r="X5" t="e">
        <f>AND('Risk MES LVG'!V10,"AAAAAGf/fxc=")</f>
        <v>#VALUE!</v>
      </c>
      <c r="Y5" t="e">
        <f>AND('Risk MES LVG'!W10,"AAAAAGf/fxg=")</f>
        <v>#VALUE!</v>
      </c>
      <c r="Z5">
        <f>IF('Risk MES LVG'!11:11,"AAAAAGf/fxk=",0)</f>
        <v>0</v>
      </c>
      <c r="AA5" t="e">
        <f>AND('Risk MES LVG'!B11,"AAAAAGf/fxo=")</f>
        <v>#VALUE!</v>
      </c>
      <c r="AB5" t="e">
        <f>AND('Risk MES LVG'!C11,"AAAAAGf/fxs=")</f>
        <v>#VALUE!</v>
      </c>
      <c r="AC5" t="e">
        <f>AND('Risk MES LVG'!D11,"AAAAAGf/fxw=")</f>
        <v>#VALUE!</v>
      </c>
      <c r="AD5" t="e">
        <f>AND('Risk MES LVG'!E11,"AAAAAGf/fx0=")</f>
        <v>#VALUE!</v>
      </c>
      <c r="AE5" t="e">
        <f>AND('Risk MES LVG'!F11,"AAAAAGf/fx4=")</f>
        <v>#VALUE!</v>
      </c>
      <c r="AF5" t="e">
        <f>AND('Risk MES LVG'!G11,"AAAAAGf/fx8=")</f>
        <v>#VALUE!</v>
      </c>
      <c r="AG5" t="e">
        <f>AND('Risk MES LVG'!H11,"AAAAAGf/fyA=")</f>
        <v>#VALUE!</v>
      </c>
      <c r="AH5" t="e">
        <f>AND('Risk MES LVG'!I11,"AAAAAGf/fyE=")</f>
        <v>#VALUE!</v>
      </c>
      <c r="AI5" t="e">
        <f>AND('Risk MES LVG'!J11,"AAAAAGf/fyI=")</f>
        <v>#VALUE!</v>
      </c>
      <c r="AJ5" t="e">
        <f>AND('Risk MES LVG'!K11,"AAAAAGf/fyM=")</f>
        <v>#VALUE!</v>
      </c>
      <c r="AK5" t="e">
        <f>AND('Risk MES LVG'!L11,"AAAAAGf/fyQ=")</f>
        <v>#VALUE!</v>
      </c>
      <c r="AL5" t="e">
        <f>AND('Risk MES LVG'!M11,"AAAAAGf/fyU=")</f>
        <v>#VALUE!</v>
      </c>
      <c r="AM5" t="e">
        <f>AND('Risk MES LVG'!N11,"AAAAAGf/fyY=")</f>
        <v>#VALUE!</v>
      </c>
      <c r="AN5" t="e">
        <f>AND('Risk MES LVG'!O11,"AAAAAGf/fyc=")</f>
        <v>#VALUE!</v>
      </c>
      <c r="AO5" t="e">
        <f>AND('Risk MES LVG'!P11,"AAAAAGf/fyg=")</f>
        <v>#VALUE!</v>
      </c>
      <c r="AP5" t="e">
        <f>AND('Risk MES LVG'!Q11,"AAAAAGf/fyk=")</f>
        <v>#VALUE!</v>
      </c>
      <c r="AQ5" t="e">
        <f>AND('Risk MES LVG'!R11,"AAAAAGf/fyo=")</f>
        <v>#VALUE!</v>
      </c>
      <c r="AR5" t="e">
        <f>AND('Risk MES LVG'!S11,"AAAAAGf/fys=")</f>
        <v>#VALUE!</v>
      </c>
      <c r="AS5" t="e">
        <f>AND('Risk MES LVG'!T11,"AAAAAGf/fyw=")</f>
        <v>#VALUE!</v>
      </c>
      <c r="AT5" t="e">
        <f>AND('Risk MES LVG'!U11,"AAAAAGf/fy0=")</f>
        <v>#VALUE!</v>
      </c>
      <c r="AU5" t="e">
        <f>AND('Risk MES LVG'!V11,"AAAAAGf/fy4=")</f>
        <v>#VALUE!</v>
      </c>
      <c r="AV5" t="e">
        <f>AND('Risk MES LVG'!W11,"AAAAAGf/fy8=")</f>
        <v>#VALUE!</v>
      </c>
      <c r="AW5">
        <f>IF('Risk MES LVG'!12:12,"AAAAAGf/fzA=",0)</f>
        <v>0</v>
      </c>
      <c r="AX5" t="e">
        <f>AND('Risk MES LVG'!B12,"AAAAAGf/fzE=")</f>
        <v>#VALUE!</v>
      </c>
      <c r="AY5" t="e">
        <f>AND('Risk MES LVG'!C12,"AAAAAGf/fzI=")</f>
        <v>#VALUE!</v>
      </c>
      <c r="AZ5" t="e">
        <f>AND('Risk MES LVG'!D12,"AAAAAGf/fzM=")</f>
        <v>#VALUE!</v>
      </c>
      <c r="BA5" t="e">
        <f>AND('Risk MES LVG'!E12,"AAAAAGf/fzQ=")</f>
        <v>#VALUE!</v>
      </c>
      <c r="BB5" t="e">
        <f>AND('Risk MES LVG'!F12,"AAAAAGf/fzU=")</f>
        <v>#VALUE!</v>
      </c>
      <c r="BC5" t="e">
        <f>AND('Risk MES LVG'!G12,"AAAAAGf/fzY=")</f>
        <v>#VALUE!</v>
      </c>
      <c r="BD5" t="e">
        <f>AND('Risk MES LVG'!H12,"AAAAAGf/fzc=")</f>
        <v>#VALUE!</v>
      </c>
      <c r="BE5" t="e">
        <f>AND('Risk MES LVG'!I12,"AAAAAGf/fzg=")</f>
        <v>#VALUE!</v>
      </c>
      <c r="BF5" t="e">
        <f>AND('Risk MES LVG'!J12,"AAAAAGf/fzk=")</f>
        <v>#VALUE!</v>
      </c>
      <c r="BG5" t="e">
        <f>AND('Risk MES LVG'!K12,"AAAAAGf/fzo=")</f>
        <v>#VALUE!</v>
      </c>
      <c r="BH5" t="e">
        <f>AND('Risk MES LVG'!L12,"AAAAAGf/fzs=")</f>
        <v>#VALUE!</v>
      </c>
      <c r="BI5" t="e">
        <f>AND('Risk MES LVG'!M12,"AAAAAGf/fzw=")</f>
        <v>#VALUE!</v>
      </c>
      <c r="BJ5" t="e">
        <f>AND('Risk MES LVG'!N12,"AAAAAGf/fz0=")</f>
        <v>#VALUE!</v>
      </c>
      <c r="BK5" t="e">
        <f>AND('Risk MES LVG'!O12,"AAAAAGf/fz4=")</f>
        <v>#VALUE!</v>
      </c>
      <c r="BL5" t="e">
        <f>AND('Risk MES LVG'!P12,"AAAAAGf/fz8=")</f>
        <v>#VALUE!</v>
      </c>
      <c r="BM5" t="e">
        <f>AND('Risk MES LVG'!Q12,"AAAAAGf/f0A=")</f>
        <v>#VALUE!</v>
      </c>
      <c r="BN5" t="e">
        <f>AND('Risk MES LVG'!R12,"AAAAAGf/f0E=")</f>
        <v>#VALUE!</v>
      </c>
      <c r="BO5" t="e">
        <f>AND('Risk MES LVG'!S12,"AAAAAGf/f0I=")</f>
        <v>#VALUE!</v>
      </c>
      <c r="BP5" t="e">
        <f>AND('Risk MES LVG'!T12,"AAAAAGf/f0M=")</f>
        <v>#VALUE!</v>
      </c>
      <c r="BQ5" t="e">
        <f>AND('Risk MES LVG'!U12,"AAAAAGf/f0Q=")</f>
        <v>#VALUE!</v>
      </c>
      <c r="BR5" t="e">
        <f>AND('Risk MES LVG'!V12,"AAAAAGf/f0U=")</f>
        <v>#VALUE!</v>
      </c>
      <c r="BS5" t="e">
        <f>AND('Risk MES LVG'!W12,"AAAAAGf/f0Y=")</f>
        <v>#VALUE!</v>
      </c>
      <c r="BT5">
        <f>IF('Risk MES LVG'!13:13,"AAAAAGf/f0c=",0)</f>
        <v>0</v>
      </c>
      <c r="BU5" t="e">
        <f>AND('Risk MES LVG'!B13,"AAAAAGf/f0g=")</f>
        <v>#VALUE!</v>
      </c>
      <c r="BV5" t="e">
        <f>AND('Risk MES LVG'!C13,"AAAAAGf/f0k=")</f>
        <v>#VALUE!</v>
      </c>
      <c r="BW5" t="e">
        <f>AND('Risk MES LVG'!D13,"AAAAAGf/f0o=")</f>
        <v>#VALUE!</v>
      </c>
      <c r="BX5" t="e">
        <f>AND('Risk MES LVG'!E13,"AAAAAGf/f0s=")</f>
        <v>#VALUE!</v>
      </c>
      <c r="BY5" t="e">
        <f>AND('Risk MES LVG'!F13,"AAAAAGf/f0w=")</f>
        <v>#VALUE!</v>
      </c>
      <c r="BZ5" t="e">
        <f>AND('Risk MES LVG'!G13,"AAAAAGf/f00=")</f>
        <v>#VALUE!</v>
      </c>
      <c r="CA5" t="e">
        <f>AND('Risk MES LVG'!H13,"AAAAAGf/f04=")</f>
        <v>#VALUE!</v>
      </c>
      <c r="CB5" t="e">
        <f>AND('Risk MES LVG'!I13,"AAAAAGf/f08=")</f>
        <v>#VALUE!</v>
      </c>
      <c r="CC5" t="e">
        <f>AND('Risk MES LVG'!J13,"AAAAAGf/f1A=")</f>
        <v>#VALUE!</v>
      </c>
      <c r="CD5" t="e">
        <f>AND('Risk MES LVG'!K13,"AAAAAGf/f1E=")</f>
        <v>#VALUE!</v>
      </c>
      <c r="CE5" t="e">
        <f>AND('Risk MES LVG'!L13,"AAAAAGf/f1I=")</f>
        <v>#VALUE!</v>
      </c>
      <c r="CF5" t="e">
        <f>AND('Risk MES LVG'!M13,"AAAAAGf/f1M=")</f>
        <v>#VALUE!</v>
      </c>
      <c r="CG5" t="e">
        <f>AND('Risk MES LVG'!N13,"AAAAAGf/f1Q=")</f>
        <v>#VALUE!</v>
      </c>
      <c r="CH5" t="e">
        <f>AND('Risk MES LVG'!O13,"AAAAAGf/f1U=")</f>
        <v>#VALUE!</v>
      </c>
      <c r="CI5" t="e">
        <f>AND('Risk MES LVG'!P13,"AAAAAGf/f1Y=")</f>
        <v>#VALUE!</v>
      </c>
      <c r="CJ5" t="e">
        <f>AND('Risk MES LVG'!Q13,"AAAAAGf/f1c=")</f>
        <v>#VALUE!</v>
      </c>
      <c r="CK5" t="e">
        <f>AND('Risk MES LVG'!R13,"AAAAAGf/f1g=")</f>
        <v>#VALUE!</v>
      </c>
      <c r="CL5" t="e">
        <f>AND('Risk MES LVG'!S13,"AAAAAGf/f1k=")</f>
        <v>#VALUE!</v>
      </c>
      <c r="CM5" t="e">
        <f>AND('Risk MES LVG'!T13,"AAAAAGf/f1o=")</f>
        <v>#VALUE!</v>
      </c>
      <c r="CN5" t="e">
        <f>AND('Risk MES LVG'!U13,"AAAAAGf/f1s=")</f>
        <v>#VALUE!</v>
      </c>
      <c r="CO5" t="e">
        <f>AND('Risk MES LVG'!V13,"AAAAAGf/f1w=")</f>
        <v>#VALUE!</v>
      </c>
      <c r="CP5" t="e">
        <f>AND('Risk MES LVG'!W13,"AAAAAGf/f10=")</f>
        <v>#VALUE!</v>
      </c>
      <c r="CQ5">
        <f>IF('Risk MES LVG'!14:14,"AAAAAGf/f14=",0)</f>
        <v>0</v>
      </c>
      <c r="CR5" t="e">
        <f>AND('Risk MES LVG'!B14,"AAAAAGf/f18=")</f>
        <v>#VALUE!</v>
      </c>
      <c r="CS5" t="e">
        <f>AND('Risk MES LVG'!C14,"AAAAAGf/f2A=")</f>
        <v>#VALUE!</v>
      </c>
      <c r="CT5" t="e">
        <f>AND('Risk MES LVG'!D14,"AAAAAGf/f2E=")</f>
        <v>#VALUE!</v>
      </c>
      <c r="CU5" t="e">
        <f>AND('Risk MES LVG'!E14,"AAAAAGf/f2I=")</f>
        <v>#VALUE!</v>
      </c>
      <c r="CV5" t="e">
        <f>AND('Risk MES LVG'!F14,"AAAAAGf/f2M=")</f>
        <v>#VALUE!</v>
      </c>
      <c r="CW5" t="e">
        <f>AND('Risk MES LVG'!G14,"AAAAAGf/f2Q=")</f>
        <v>#VALUE!</v>
      </c>
      <c r="CX5" t="e">
        <f>AND('Risk MES LVG'!H14,"AAAAAGf/f2U=")</f>
        <v>#VALUE!</v>
      </c>
      <c r="CY5" t="e">
        <f>AND('Risk MES LVG'!I14,"AAAAAGf/f2Y=")</f>
        <v>#VALUE!</v>
      </c>
      <c r="CZ5" t="e">
        <f>AND('Risk MES LVG'!J14,"AAAAAGf/f2c=")</f>
        <v>#VALUE!</v>
      </c>
      <c r="DA5" t="e">
        <f>AND('Risk MES LVG'!K14,"AAAAAGf/f2g=")</f>
        <v>#VALUE!</v>
      </c>
      <c r="DB5" t="e">
        <f>AND('Risk MES LVG'!L14,"AAAAAGf/f2k=")</f>
        <v>#VALUE!</v>
      </c>
      <c r="DC5" t="e">
        <f>AND('Risk MES LVG'!M14,"AAAAAGf/f2o=")</f>
        <v>#VALUE!</v>
      </c>
      <c r="DD5" t="e">
        <f>AND('Risk MES LVG'!N14,"AAAAAGf/f2s=")</f>
        <v>#VALUE!</v>
      </c>
      <c r="DE5" t="e">
        <f>AND('Risk MES LVG'!O14,"AAAAAGf/f2w=")</f>
        <v>#VALUE!</v>
      </c>
      <c r="DF5" t="e">
        <f>AND('Risk MES LVG'!P14,"AAAAAGf/f20=")</f>
        <v>#VALUE!</v>
      </c>
      <c r="DG5" t="e">
        <f>AND('Risk MES LVG'!Q14,"AAAAAGf/f24=")</f>
        <v>#VALUE!</v>
      </c>
      <c r="DH5" t="e">
        <f>AND('Risk MES LVG'!R14,"AAAAAGf/f28=")</f>
        <v>#VALUE!</v>
      </c>
      <c r="DI5" t="e">
        <f>AND('Risk MES LVG'!S14,"AAAAAGf/f3A=")</f>
        <v>#VALUE!</v>
      </c>
      <c r="DJ5" t="e">
        <f>AND('Risk MES LVG'!T14,"AAAAAGf/f3E=")</f>
        <v>#VALUE!</v>
      </c>
      <c r="DK5" t="e">
        <f>AND('Risk MES LVG'!U14,"AAAAAGf/f3I=")</f>
        <v>#VALUE!</v>
      </c>
      <c r="DL5" t="e">
        <f>AND('Risk MES LVG'!V14,"AAAAAGf/f3M=")</f>
        <v>#VALUE!</v>
      </c>
      <c r="DM5" t="e">
        <f>AND('Risk MES LVG'!W14,"AAAAAGf/f3Q=")</f>
        <v>#VALUE!</v>
      </c>
      <c r="DN5">
        <f>IF('Risk MES LVG'!15:15,"AAAAAGf/f3U=",0)</f>
        <v>0</v>
      </c>
      <c r="DO5" t="e">
        <f>AND('Risk MES LVG'!B15,"AAAAAGf/f3Y=")</f>
        <v>#VALUE!</v>
      </c>
      <c r="DP5" t="e">
        <f>AND('Risk MES LVG'!C15,"AAAAAGf/f3c=")</f>
        <v>#VALUE!</v>
      </c>
      <c r="DQ5" t="e">
        <f>AND('Risk MES LVG'!D15,"AAAAAGf/f3g=")</f>
        <v>#VALUE!</v>
      </c>
      <c r="DR5" t="e">
        <f>AND('Risk MES LVG'!E15,"AAAAAGf/f3k=")</f>
        <v>#VALUE!</v>
      </c>
      <c r="DS5" t="e">
        <f>AND('Risk MES LVG'!F15,"AAAAAGf/f3o=")</f>
        <v>#VALUE!</v>
      </c>
      <c r="DT5" t="e">
        <f>AND('Risk MES LVG'!G15,"AAAAAGf/f3s=")</f>
        <v>#VALUE!</v>
      </c>
      <c r="DU5" t="e">
        <f>AND('Risk MES LVG'!H15,"AAAAAGf/f3w=")</f>
        <v>#VALUE!</v>
      </c>
      <c r="DV5" t="e">
        <f>AND('Risk MES LVG'!I15,"AAAAAGf/f30=")</f>
        <v>#VALUE!</v>
      </c>
      <c r="DW5" t="e">
        <f>AND('Risk MES LVG'!J15,"AAAAAGf/f34=")</f>
        <v>#VALUE!</v>
      </c>
      <c r="DX5" t="e">
        <f>AND('Risk MES LVG'!K15,"AAAAAGf/f38=")</f>
        <v>#VALUE!</v>
      </c>
      <c r="DY5" t="e">
        <f>AND('Risk MES LVG'!L15,"AAAAAGf/f4A=")</f>
        <v>#VALUE!</v>
      </c>
      <c r="DZ5" t="e">
        <f>AND('Risk MES LVG'!M15,"AAAAAGf/f4E=")</f>
        <v>#VALUE!</v>
      </c>
      <c r="EA5" t="e">
        <f>AND('Risk MES LVG'!N15,"AAAAAGf/f4I=")</f>
        <v>#VALUE!</v>
      </c>
      <c r="EB5" t="e">
        <f>AND('Risk MES LVG'!O15,"AAAAAGf/f4M=")</f>
        <v>#VALUE!</v>
      </c>
      <c r="EC5" t="e">
        <f>AND('Risk MES LVG'!P15,"AAAAAGf/f4Q=")</f>
        <v>#VALUE!</v>
      </c>
      <c r="ED5" t="e">
        <f>AND('Risk MES LVG'!Q15,"AAAAAGf/f4U=")</f>
        <v>#VALUE!</v>
      </c>
      <c r="EE5" t="e">
        <f>AND('Risk MES LVG'!R15,"AAAAAGf/f4Y=")</f>
        <v>#VALUE!</v>
      </c>
      <c r="EF5" t="e">
        <f>AND('Risk MES LVG'!S15,"AAAAAGf/f4c=")</f>
        <v>#VALUE!</v>
      </c>
      <c r="EG5" t="e">
        <f>AND('Risk MES LVG'!T15,"AAAAAGf/f4g=")</f>
        <v>#VALUE!</v>
      </c>
      <c r="EH5" t="e">
        <f>AND('Risk MES LVG'!U15,"AAAAAGf/f4k=")</f>
        <v>#VALUE!</v>
      </c>
      <c r="EI5" t="e">
        <f>AND('Risk MES LVG'!V15,"AAAAAGf/f4o=")</f>
        <v>#VALUE!</v>
      </c>
      <c r="EJ5" t="e">
        <f>AND('Risk MES LVG'!W15,"AAAAAGf/f4s=")</f>
        <v>#VALUE!</v>
      </c>
      <c r="EK5">
        <f>IF('Risk MES LVG'!16:16,"AAAAAGf/f4w=",0)</f>
        <v>0</v>
      </c>
      <c r="EL5" t="e">
        <f>AND('Risk MES LVG'!B16,"AAAAAGf/f40=")</f>
        <v>#VALUE!</v>
      </c>
      <c r="EM5" t="e">
        <f>AND('Risk MES LVG'!C16,"AAAAAGf/f44=")</f>
        <v>#VALUE!</v>
      </c>
      <c r="EN5" t="e">
        <f>AND('Risk MES LVG'!D16,"AAAAAGf/f48=")</f>
        <v>#VALUE!</v>
      </c>
      <c r="EO5" t="e">
        <f>AND('Risk MES LVG'!E16,"AAAAAGf/f5A=")</f>
        <v>#VALUE!</v>
      </c>
      <c r="EP5" t="e">
        <f>AND('Risk MES LVG'!F16,"AAAAAGf/f5E=")</f>
        <v>#VALUE!</v>
      </c>
      <c r="EQ5" t="e">
        <f>AND('Risk MES LVG'!G16,"AAAAAGf/f5I=")</f>
        <v>#VALUE!</v>
      </c>
      <c r="ER5" t="e">
        <f>AND('Risk MES LVG'!H16,"AAAAAGf/f5M=")</f>
        <v>#VALUE!</v>
      </c>
      <c r="ES5" t="e">
        <f>AND('Risk MES LVG'!I16,"AAAAAGf/f5Q=")</f>
        <v>#VALUE!</v>
      </c>
      <c r="ET5" t="e">
        <f>AND('Risk MES LVG'!J16,"AAAAAGf/f5U=")</f>
        <v>#VALUE!</v>
      </c>
      <c r="EU5" t="e">
        <f>AND('Risk MES LVG'!K16,"AAAAAGf/f5Y=")</f>
        <v>#VALUE!</v>
      </c>
      <c r="EV5" t="e">
        <f>AND('Risk MES LVG'!L16,"AAAAAGf/f5c=")</f>
        <v>#VALUE!</v>
      </c>
      <c r="EW5" t="e">
        <f>AND('Risk MES LVG'!M16,"AAAAAGf/f5g=")</f>
        <v>#VALUE!</v>
      </c>
      <c r="EX5" t="e">
        <f>AND('Risk MES LVG'!N16,"AAAAAGf/f5k=")</f>
        <v>#VALUE!</v>
      </c>
      <c r="EY5" t="e">
        <f>AND('Risk MES LVG'!O16,"AAAAAGf/f5o=")</f>
        <v>#VALUE!</v>
      </c>
      <c r="EZ5" t="e">
        <f>AND('Risk MES LVG'!P16,"AAAAAGf/f5s=")</f>
        <v>#VALUE!</v>
      </c>
      <c r="FA5" t="e">
        <f>AND('Risk MES LVG'!Q16,"AAAAAGf/f5w=")</f>
        <v>#VALUE!</v>
      </c>
      <c r="FB5" t="e">
        <f>AND('Risk MES LVG'!R16,"AAAAAGf/f50=")</f>
        <v>#VALUE!</v>
      </c>
      <c r="FC5" t="e">
        <f>AND('Risk MES LVG'!S16,"AAAAAGf/f54=")</f>
        <v>#VALUE!</v>
      </c>
      <c r="FD5" t="e">
        <f>AND('Risk MES LVG'!T16,"AAAAAGf/f58=")</f>
        <v>#VALUE!</v>
      </c>
      <c r="FE5" t="e">
        <f>AND('Risk MES LVG'!U16,"AAAAAGf/f6A=")</f>
        <v>#VALUE!</v>
      </c>
      <c r="FF5" t="e">
        <f>AND('Risk MES LVG'!V16,"AAAAAGf/f6E=")</f>
        <v>#VALUE!</v>
      </c>
      <c r="FG5" t="e">
        <f>AND('Risk MES LVG'!W16,"AAAAAGf/f6I=")</f>
        <v>#VALUE!</v>
      </c>
      <c r="FH5">
        <f>IF('Risk MES LVG'!17:17,"AAAAAGf/f6M=",0)</f>
        <v>0</v>
      </c>
      <c r="FI5">
        <f>IF('Risk MES LVG'!18:18,"AAAAAGf/f6Q=",0)</f>
        <v>0</v>
      </c>
      <c r="FJ5">
        <f>IF('Risk MES LVG'!19:19,"AAAAAGf/f6U=",0)</f>
        <v>0</v>
      </c>
      <c r="FK5">
        <f>IF('Risk MES LVG'!20:20,"AAAAAGf/f6Y=",0)</f>
        <v>0</v>
      </c>
      <c r="FL5">
        <f>IF('Risk MES LVG'!21:21,"AAAAAGf/f6c=",0)</f>
        <v>0</v>
      </c>
      <c r="FM5">
        <f>IF('Risk MES LVG'!22:22,"AAAAAGf/f6g=",0)</f>
        <v>0</v>
      </c>
      <c r="FN5">
        <f>IF('Risk MES LVG'!23:23,"AAAAAGf/f6k=",0)</f>
        <v>0</v>
      </c>
      <c r="FO5">
        <f>IF('Risk MES LVG'!24:24,"AAAAAGf/f6o=",0)</f>
        <v>0</v>
      </c>
      <c r="FP5">
        <f>IF('Risk MES LVG'!25:25,"AAAAAGf/f6s=",0)</f>
        <v>0</v>
      </c>
      <c r="FQ5">
        <f>IF('Risk MES LVG'!26:26,"AAAAAGf/f6w=",0)</f>
        <v>0</v>
      </c>
      <c r="FR5">
        <f>IF('Risk MES LVG'!27:27,"AAAAAGf/f60=",0)</f>
        <v>0</v>
      </c>
      <c r="FS5">
        <f>IF('Risk MES LVG'!28:28,"AAAAAGf/f64=",0)</f>
        <v>0</v>
      </c>
      <c r="FT5">
        <f>IF('Risk MES LVG'!29:29,"AAAAAGf/f68=",0)</f>
        <v>0</v>
      </c>
      <c r="FU5">
        <f>IF('Risk MES LVG'!30:30,"AAAAAGf/f7A=",0)</f>
        <v>0</v>
      </c>
      <c r="FV5">
        <f>IF('Risk MES LVG'!31:31,"AAAAAGf/f7E=",0)</f>
        <v>0</v>
      </c>
      <c r="FW5">
        <f>IF('Risk MES LVG'!32:32,"AAAAAGf/f7I=",0)</f>
        <v>0</v>
      </c>
      <c r="FX5">
        <f>IF('Risk MES LVG'!33:33,"AAAAAGf/f7M=",0)</f>
        <v>0</v>
      </c>
      <c r="FY5">
        <f>IF('Risk MES LVG'!A:A,"AAAAAGf/f7Q=",0)</f>
        <v>0</v>
      </c>
      <c r="FZ5" t="str">
        <f>IF('Risk MES LVG'!B:B,"AAAAAGf/f7U=",0)</f>
        <v>AAAAAGf/f7U=</v>
      </c>
      <c r="GA5">
        <f>IF('Risk MES LVG'!C:C,"AAAAAGf/f7Y=",0)</f>
        <v>0</v>
      </c>
      <c r="GB5" t="e">
        <f>IF('Risk MES LVG'!D:D,"AAAAAGf/f7c=",0)</f>
        <v>#VALUE!</v>
      </c>
      <c r="GC5" t="str">
        <f>IF('Risk MES LVG'!E:E,"AAAAAGf/f7g=",0)</f>
        <v>AAAAAGf/f7g=</v>
      </c>
      <c r="GD5" t="str">
        <f>IF('Risk MES LVG'!F:F,"AAAAAGf/f7k=",0)</f>
        <v>AAAAAGf/f7k=</v>
      </c>
      <c r="GE5">
        <f>IF('Risk MES LVG'!G:G,"AAAAAGf/f7o=",0)</f>
        <v>0</v>
      </c>
      <c r="GF5">
        <f>IF('Risk MES LVG'!H:H,"AAAAAGf/f7s=",0)</f>
        <v>0</v>
      </c>
      <c r="GG5">
        <f>IF('Risk MES LVG'!I:I,"AAAAAGf/f7w=",0)</f>
        <v>0</v>
      </c>
      <c r="GH5">
        <f>IF('Risk MES LVG'!J:J,"AAAAAGf/f70=",0)</f>
        <v>0</v>
      </c>
      <c r="GI5">
        <f>IF('Risk MES LVG'!K:K,"AAAAAGf/f74=",0)</f>
        <v>0</v>
      </c>
      <c r="GJ5" t="str">
        <f>IF('Risk MES LVG'!L:L,"AAAAAGf/f78=",0)</f>
        <v>AAAAAGf/f78=</v>
      </c>
      <c r="GK5" t="str">
        <f>IF('Risk MES LVG'!M:M,"AAAAAGf/f8A=",0)</f>
        <v>AAAAAGf/f8A=</v>
      </c>
      <c r="GL5">
        <f>IF('Risk MES LVG'!N:N,"AAAAAGf/f8E=",0)</f>
        <v>0</v>
      </c>
      <c r="GM5" t="str">
        <f>IF('Risk MES LVG'!O:O,"AAAAAGf/f8I=",0)</f>
        <v>AAAAAGf/f8I=</v>
      </c>
      <c r="GN5">
        <f>IF('Risk MES LVG'!P:P,"AAAAAGf/f8M=",0)</f>
        <v>0</v>
      </c>
      <c r="GO5" t="str">
        <f>IF('Risk MES LVG'!Q:Q,"AAAAAGf/f8Q=",0)</f>
        <v>AAAAAGf/f8Q=</v>
      </c>
      <c r="GP5" t="e">
        <f>IF('Risk MES LVG'!R:R,"AAAAAGf/f8U=",0)</f>
        <v>#VALUE!</v>
      </c>
      <c r="GQ5">
        <f>IF('Risk MES LVG'!S:S,"AAAAAGf/f8Y=",0)</f>
        <v>0</v>
      </c>
      <c r="GR5">
        <f>IF('Risk MES LVG'!T:T,"AAAAAGf/f8c=",0)</f>
        <v>0</v>
      </c>
      <c r="GS5">
        <f>IF('Risk MES LVG'!U:U,"AAAAAGf/f8g=",0)</f>
        <v>0</v>
      </c>
      <c r="GT5">
        <f>IF('Risk MES LVG'!V:V,"AAAAAGf/f8k=",0)</f>
        <v>0</v>
      </c>
      <c r="GU5">
        <f>IF('Risk MES LVG'!W:W,"AAAAAGf/f8o=",0)</f>
        <v>0</v>
      </c>
      <c r="GV5" t="s">
        <v>14</v>
      </c>
    </row>
    <row r="6" spans="1:256" x14ac:dyDescent="0.25">
      <c r="A6" t="e">
        <f>AND('Deckblatt Risk'!U1,"AAAAAD/jRwA=")</f>
        <v>#VALUE!</v>
      </c>
      <c r="B6">
        <f>IF('Deckblatt Risk'!2:2,"AAAAAD/jRwE=",0)</f>
        <v>0</v>
      </c>
      <c r="C6" t="e">
        <f>AND('Deckblatt Risk'!U2,"AAAAAD/jRwI=")</f>
        <v>#VALUE!</v>
      </c>
      <c r="D6">
        <f>IF('Deckblatt Risk'!3:3,"AAAAAD/jRwM=",0)</f>
        <v>0</v>
      </c>
      <c r="E6" t="e">
        <f>AND('Deckblatt Risk'!U3,"AAAAAD/jRwQ=")</f>
        <v>#VALUE!</v>
      </c>
      <c r="F6">
        <f>IF('Deckblatt Risk'!4:4,"AAAAAD/jRwU=",0)</f>
        <v>0</v>
      </c>
      <c r="G6" t="e">
        <f>AND('Deckblatt Risk'!U4,"AAAAAD/jRwY=")</f>
        <v>#VALUE!</v>
      </c>
      <c r="H6">
        <f>IF('Deckblatt Risk'!5:5,"AAAAAD/jRwc=",0)</f>
        <v>0</v>
      </c>
      <c r="I6" t="e">
        <f>AND('Deckblatt Risk'!U5,"AAAAAD/jRwg=")</f>
        <v>#VALUE!</v>
      </c>
      <c r="J6">
        <f>IF('Deckblatt Risk'!6:6,"AAAAAD/jRwk=",0)</f>
        <v>0</v>
      </c>
      <c r="K6" t="e">
        <f>AND('Deckblatt Risk'!U6,"AAAAAD/jRwo=")</f>
        <v>#VALUE!</v>
      </c>
      <c r="L6">
        <f>IF('Deckblatt Risk'!7:7,"AAAAAD/jRws=",0)</f>
        <v>0</v>
      </c>
      <c r="M6" t="e">
        <f>AND('Deckblatt Risk'!U7,"AAAAAD/jRww=")</f>
        <v>#VALUE!</v>
      </c>
      <c r="N6">
        <f>IF('Deckblatt Risk'!8:8,"AAAAAD/jRw0=",0)</f>
        <v>0</v>
      </c>
      <c r="O6" t="e">
        <f>AND('Deckblatt Risk'!U8,"AAAAAD/jRw4=")</f>
        <v>#VALUE!</v>
      </c>
      <c r="P6">
        <f>IF('Deckblatt Risk'!9:9,"AAAAAD/jRw8=",0)</f>
        <v>0</v>
      </c>
      <c r="Q6" t="e">
        <f>AND('Deckblatt Risk'!U9,"AAAAAD/jRxA=")</f>
        <v>#VALUE!</v>
      </c>
      <c r="R6">
        <f>IF('Deckblatt Risk'!10:10,"AAAAAD/jRxE=",0)</f>
        <v>0</v>
      </c>
      <c r="S6" t="e">
        <f>AND('Deckblatt Risk'!U10,"AAAAAD/jRxI=")</f>
        <v>#VALUE!</v>
      </c>
      <c r="T6">
        <f>IF('Deckblatt Risk'!11:11,"AAAAAD/jRxM=",0)</f>
        <v>0</v>
      </c>
      <c r="U6" t="e">
        <f>AND('Deckblatt Risk'!U11,"AAAAAD/jRxQ=")</f>
        <v>#VALUE!</v>
      </c>
      <c r="V6">
        <f>IF('Deckblatt Risk'!12:12,"AAAAAD/jRxU=",0)</f>
        <v>0</v>
      </c>
      <c r="W6" t="e">
        <f>AND('Deckblatt Risk'!U12,"AAAAAD/jRxY=")</f>
        <v>#VALUE!</v>
      </c>
      <c r="X6">
        <f>IF('Deckblatt Risk'!13:13,"AAAAAD/jRxc=",0)</f>
        <v>0</v>
      </c>
      <c r="Y6" t="e">
        <f>AND('Deckblatt Risk'!U13,"AAAAAD/jRxg=")</f>
        <v>#VALUE!</v>
      </c>
      <c r="Z6">
        <f>IF('Deckblatt Risk'!14:14,"AAAAAD/jRxk=",0)</f>
        <v>0</v>
      </c>
      <c r="AA6" t="e">
        <f>AND('Deckblatt Risk'!U14,"AAAAAD/jRxo=")</f>
        <v>#VALUE!</v>
      </c>
      <c r="AB6">
        <f>IF('Deckblatt Risk'!15:15,"AAAAAD/jRxs=",0)</f>
        <v>0</v>
      </c>
      <c r="AC6" t="e">
        <f>AND('Deckblatt Risk'!U15,"AAAAAD/jRxw=")</f>
        <v>#VALUE!</v>
      </c>
      <c r="AD6">
        <f>IF('Deckblatt Risk'!16:16,"AAAAAD/jRx0=",0)</f>
        <v>0</v>
      </c>
      <c r="AE6" t="e">
        <f>AND('Deckblatt Risk'!U16,"AAAAAD/jRx4=")</f>
        <v>#VALUE!</v>
      </c>
      <c r="AF6">
        <f>IF('Deckblatt Risk'!17:17,"AAAAAD/jRx8=",0)</f>
        <v>0</v>
      </c>
      <c r="AG6" t="e">
        <f>AND('Deckblatt Risk'!U17,"AAAAAD/jRyA=")</f>
        <v>#VALUE!</v>
      </c>
      <c r="AH6">
        <f>IF('Deckblatt Risk'!B:B,"AAAAAD/jRyE=",0)</f>
        <v>0</v>
      </c>
      <c r="AI6">
        <f>IF('Deckblatt Risk'!C:C,"AAAAAD/jRyI=",0)</f>
        <v>0</v>
      </c>
      <c r="AJ6">
        <f>IF('Deckblatt Risk'!D:D,"AAAAAD/jRyM=",0)</f>
        <v>0</v>
      </c>
      <c r="AK6">
        <f>IF('Deckblatt Risk'!E:E,"AAAAAD/jRyQ=",0)</f>
        <v>0</v>
      </c>
      <c r="AL6">
        <f>IF('Deckblatt Risk'!F:F,"AAAAAD/jRyU=",0)</f>
        <v>0</v>
      </c>
      <c r="AM6">
        <f>IF('Deckblatt Risk'!G:G,"AAAAAD/jRyY=",0)</f>
        <v>0</v>
      </c>
      <c r="AN6">
        <f>IF('Deckblatt Risk'!H:H,"AAAAAD/jRyc=",0)</f>
        <v>0</v>
      </c>
      <c r="AO6">
        <f>IF('Deckblatt Risk'!I:I,"AAAAAD/jRyg=",0)</f>
        <v>0</v>
      </c>
      <c r="AP6">
        <f>IF('Deckblatt Risk'!J:J,"AAAAAD/jRyk=",0)</f>
        <v>0</v>
      </c>
      <c r="AQ6">
        <f>IF('Deckblatt Risk'!K:K,"AAAAAD/jRyo=",0)</f>
        <v>0</v>
      </c>
      <c r="AR6">
        <f>IF('Deckblatt Risk'!L:L,"AAAAAD/jRys=",0)</f>
        <v>0</v>
      </c>
      <c r="AS6">
        <f>IF('Deckblatt Risk'!M:M,"AAAAAD/jRyw=",0)</f>
        <v>0</v>
      </c>
      <c r="AT6">
        <f>IF('Deckblatt Risk'!N:N,"AAAAAD/jRy0=",0)</f>
        <v>0</v>
      </c>
      <c r="AU6">
        <f>IF('Deckblatt Risk'!O:O,"AAAAAD/jRy4=",0)</f>
        <v>0</v>
      </c>
      <c r="AV6">
        <f>IF('Deckblatt Risk'!P:P,"AAAAAD/jRy8=",0)</f>
        <v>0</v>
      </c>
      <c r="AW6">
        <f>IF('Deckblatt Risk'!Q:Q,"AAAAAD/jRzA=",0)</f>
        <v>0</v>
      </c>
      <c r="AX6">
        <f>IF('Deckblatt Risk'!R:R,"AAAAAD/jRzE=",0)</f>
        <v>0</v>
      </c>
      <c r="AY6">
        <f>IF('Deckblatt Risk'!S:S,"AAAAAD/jRzI=",0)</f>
        <v>0</v>
      </c>
      <c r="AZ6">
        <f>IF('Deckblatt Risk'!T:T,"AAAAAD/jRzM=",0)</f>
        <v>0</v>
      </c>
      <c r="BA6" t="e">
        <f>IF('Deckblatt Risk'!U:U,"AAAAAD/jRzQ=",0)</f>
        <v>#VALUE!</v>
      </c>
      <c r="BB6" s="18" t="s">
        <v>27</v>
      </c>
    </row>
  </sheetData>
  <pageMargins left="0.7" right="0.7" top="0.78740157499999996" bottom="0.78740157499999996" header="0.3" footer="0.3"/>
  <customProperties>
    <customPr name="DVSECTION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Deckblatt Risk</vt:lpstr>
      <vt:lpstr>Tabelle1</vt:lpstr>
      <vt:lpstr>Risk LVG SRISK%</vt:lpstr>
      <vt:lpstr>Risk MES SRISK%</vt:lpstr>
      <vt:lpstr>Risk MES LVG</vt:lpstr>
      <vt:lpstr>Tabelle1!ExterneDaten_1</vt:lpstr>
      <vt:lpstr>Tabelle1!risk_1</vt:lpstr>
    </vt:vector>
  </TitlesOfParts>
  <Manager>Peter Bretscher</Manager>
  <Company>Ingenieurbüro für Wirtschaftsentwicklung</Company>
  <LinksUpToDate>false</LinksUpToDate>
  <SharedDoc>false</SharedDoc>
  <HyperlinkBase>www.bengin.net</HyperlinkBase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Business Engineering Vectorprofile</dc:title>
  <dc:creator>Peter Bretscher</dc:creator>
  <cp:keywords>quantifying, visualizing</cp:keywords>
  <dc:description>Registered Copyright</dc:description>
  <cp:lastModifiedBy>Peter Bretscher</cp:lastModifiedBy>
  <cp:lastPrinted>2011-11-30T01:06:47Z</cp:lastPrinted>
  <dcterms:created xsi:type="dcterms:W3CDTF">2011-02-08T18:31:19Z</dcterms:created>
  <dcterms:modified xsi:type="dcterms:W3CDTF">2011-11-30T01:06:56Z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2011 Peter Bretscher</vt:lpwstr>
  </property>
  <property fmtid="{D5CDD505-2E9C-101B-9397-08002B2CF9AE}" pid="3" name="Google.Documents.Tracking">
    <vt:lpwstr>true</vt:lpwstr>
  </property>
  <property fmtid="{D5CDD505-2E9C-101B-9397-08002B2CF9AE}" pid="4" name="Google.Documents.DocumentId">
    <vt:lpwstr>1s4gulIqgWBICV5EscRlw-H7_JNbeJb2i15IW1dKR9VY</vt:lpwstr>
  </property>
  <property fmtid="{D5CDD505-2E9C-101B-9397-08002B2CF9AE}" pid="5" name="Google.Documents.RevisionId">
    <vt:lpwstr>07237173299780278561</vt:lpwstr>
  </property>
  <property fmtid="{D5CDD505-2E9C-101B-9397-08002B2CF9AE}" pid="6" name="Google.Documents.PreviousRevisionId">
    <vt:lpwstr>00611176713923185410</vt:lpwstr>
  </property>
  <property fmtid="{D5CDD505-2E9C-101B-9397-08002B2CF9AE}" pid="7" name="Google.Documents.PluginVersion">
    <vt:lpwstr>2.0.1974.7364</vt:lpwstr>
  </property>
  <property fmtid="{D5CDD505-2E9C-101B-9397-08002B2CF9AE}" pid="8" name="Google.Documents.MergeIncapabilityFlags">
    <vt:i4>0</vt:i4>
  </property>
</Properties>
</file>