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120" yWindow="165" windowWidth="10845" windowHeight="8670"/>
  </bookViews>
  <sheets>
    <sheet name="zwei Datensätze" sheetId="10" r:id="rId1"/>
    <sheet name="DV-IDENTITY-0" sheetId="11" state="veryHidden" r:id="rId2"/>
  </sheets>
  <calcPr calcId="145621"/>
</workbook>
</file>

<file path=xl/calcChain.xml><?xml version="1.0" encoding="utf-8"?>
<calcChain xmlns="http://schemas.openxmlformats.org/spreadsheetml/2006/main">
  <c r="F3" i="10" l="1"/>
  <c r="E19" i="10" l="1"/>
  <c r="F19" i="10"/>
  <c r="E21" i="10"/>
  <c r="F21" i="10"/>
  <c r="M20" i="10"/>
  <c r="L20" i="10"/>
  <c r="M3" i="10"/>
  <c r="L3" i="10"/>
  <c r="A4" i="11" l="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A3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CB3" i="11"/>
  <c r="CC3" i="11"/>
  <c r="CD3" i="11"/>
  <c r="CE3" i="11"/>
  <c r="CF3" i="11"/>
  <c r="CG3" i="11"/>
  <c r="CH3" i="11"/>
  <c r="CI3" i="11"/>
  <c r="CJ3" i="11"/>
  <c r="CK3" i="11"/>
  <c r="CL3" i="11"/>
  <c r="CM3" i="11"/>
  <c r="CN3" i="11"/>
  <c r="CO3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DQ3" i="11"/>
  <c r="DR3" i="11"/>
  <c r="DS3" i="11"/>
  <c r="DT3" i="11"/>
  <c r="DU3" i="11"/>
  <c r="DV3" i="11"/>
  <c r="DW3" i="11"/>
  <c r="DX3" i="11"/>
  <c r="DY3" i="11"/>
  <c r="DZ3" i="11"/>
  <c r="EA3" i="11"/>
  <c r="EB3" i="11"/>
  <c r="EC3" i="11"/>
  <c r="ED3" i="11"/>
  <c r="EE3" i="11"/>
  <c r="EF3" i="11"/>
  <c r="EG3" i="11"/>
  <c r="EH3" i="11"/>
  <c r="EI3" i="11"/>
  <c r="EJ3" i="11"/>
  <c r="EK3" i="11"/>
  <c r="EL3" i="11"/>
  <c r="EM3" i="11"/>
  <c r="EN3" i="11"/>
  <c r="EO3" i="11"/>
  <c r="EP3" i="11"/>
  <c r="EQ3" i="11"/>
  <c r="ER3" i="11"/>
  <c r="ES3" i="11"/>
  <c r="ET3" i="11"/>
  <c r="EU3" i="11"/>
  <c r="EV3" i="11"/>
  <c r="EW3" i="11"/>
  <c r="EX3" i="11"/>
  <c r="EY3" i="11"/>
  <c r="EZ3" i="11"/>
  <c r="FA3" i="11"/>
  <c r="FB3" i="11"/>
  <c r="FC3" i="11"/>
  <c r="FD3" i="11"/>
  <c r="FE3" i="11"/>
  <c r="FF3" i="11"/>
  <c r="FG3" i="11"/>
  <c r="FH3" i="11"/>
  <c r="FI3" i="11"/>
  <c r="FJ3" i="11"/>
  <c r="FK3" i="11"/>
  <c r="FL3" i="11"/>
  <c r="FM3" i="11"/>
  <c r="FN3" i="11"/>
  <c r="FO3" i="11"/>
  <c r="FP3" i="11"/>
  <c r="FQ3" i="11"/>
  <c r="FR3" i="11"/>
  <c r="FS3" i="11"/>
  <c r="FT3" i="11"/>
  <c r="FU3" i="11"/>
  <c r="FV3" i="11"/>
  <c r="FW3" i="11"/>
  <c r="FX3" i="11"/>
  <c r="FY3" i="11"/>
  <c r="FZ3" i="11"/>
  <c r="GA3" i="11"/>
  <c r="GB3" i="11"/>
  <c r="GC3" i="11"/>
  <c r="GD3" i="11"/>
  <c r="GE3" i="11"/>
  <c r="GF3" i="11"/>
  <c r="GG3" i="11"/>
  <c r="GH3" i="11"/>
  <c r="GI3" i="11"/>
  <c r="GJ3" i="11"/>
  <c r="GK3" i="11"/>
  <c r="GL3" i="11"/>
  <c r="GM3" i="11"/>
  <c r="GN3" i="11"/>
  <c r="GO3" i="11"/>
  <c r="GP3" i="11"/>
  <c r="GQ3" i="11"/>
  <c r="GR3" i="11"/>
  <c r="GS3" i="11"/>
  <c r="GT3" i="11"/>
  <c r="GU3" i="11"/>
  <c r="GV3" i="11"/>
  <c r="GW3" i="11"/>
  <c r="GX3" i="11"/>
  <c r="GY3" i="11"/>
  <c r="GZ3" i="11"/>
  <c r="HA3" i="11"/>
  <c r="HB3" i="11"/>
  <c r="HC3" i="11"/>
  <c r="HD3" i="11"/>
  <c r="HE3" i="11"/>
  <c r="HF3" i="11"/>
  <c r="HG3" i="11"/>
  <c r="HH3" i="11"/>
  <c r="HI3" i="11"/>
  <c r="HJ3" i="11"/>
  <c r="HK3" i="11"/>
  <c r="HL3" i="11"/>
  <c r="HM3" i="11"/>
  <c r="HN3" i="11"/>
  <c r="HO3" i="11"/>
  <c r="HP3" i="11"/>
  <c r="HQ3" i="11"/>
  <c r="HR3" i="11"/>
  <c r="HS3" i="11"/>
  <c r="HT3" i="11"/>
  <c r="HU3" i="11"/>
  <c r="HV3" i="11"/>
  <c r="HW3" i="11"/>
  <c r="HX3" i="11"/>
  <c r="HY3" i="11"/>
  <c r="HZ3" i="11"/>
  <c r="IA3" i="11"/>
  <c r="IB3" i="11"/>
  <c r="IC3" i="11"/>
  <c r="ID3" i="11"/>
  <c r="IE3" i="11"/>
  <c r="IF3" i="11"/>
  <c r="IG3" i="11"/>
  <c r="IH3" i="11"/>
  <c r="II3" i="11"/>
  <c r="IJ3" i="11"/>
  <c r="IK3" i="11"/>
  <c r="IL3" i="11"/>
  <c r="IM3" i="11"/>
  <c r="IN3" i="11"/>
  <c r="IO3" i="11"/>
  <c r="IP3" i="11"/>
  <c r="IQ3" i="11"/>
  <c r="IR3" i="11"/>
  <c r="IS3" i="11"/>
  <c r="IT3" i="11"/>
  <c r="IU3" i="11"/>
  <c r="IV3" i="11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BI2" i="11"/>
  <c r="BJ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CA2" i="11"/>
  <c r="CB2" i="11"/>
  <c r="CC2" i="11"/>
  <c r="CD2" i="11"/>
  <c r="CE2" i="11"/>
  <c r="CF2" i="11"/>
  <c r="CG2" i="11"/>
  <c r="CH2" i="11"/>
  <c r="CI2" i="11"/>
  <c r="CJ2" i="11"/>
  <c r="CK2" i="11"/>
  <c r="CL2" i="11"/>
  <c r="CM2" i="11"/>
  <c r="CN2" i="11"/>
  <c r="CO2" i="11"/>
  <c r="CP2" i="11"/>
  <c r="CQ2" i="11"/>
  <c r="CR2" i="11"/>
  <c r="CS2" i="11"/>
  <c r="CT2" i="11"/>
  <c r="CU2" i="11"/>
  <c r="CV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DN2" i="11"/>
  <c r="DO2" i="11"/>
  <c r="DP2" i="11"/>
  <c r="DQ2" i="11"/>
  <c r="DR2" i="11"/>
  <c r="DS2" i="11"/>
  <c r="DT2" i="11"/>
  <c r="DU2" i="11"/>
  <c r="DV2" i="11"/>
  <c r="DW2" i="11"/>
  <c r="DX2" i="11"/>
  <c r="DY2" i="11"/>
  <c r="DZ2" i="11"/>
  <c r="EA2" i="11"/>
  <c r="EB2" i="11"/>
  <c r="EC2" i="11"/>
  <c r="ED2" i="11"/>
  <c r="EE2" i="11"/>
  <c r="EF2" i="11"/>
  <c r="EG2" i="11"/>
  <c r="EH2" i="11"/>
  <c r="EI2" i="11"/>
  <c r="EJ2" i="11"/>
  <c r="EK2" i="11"/>
  <c r="EL2" i="11"/>
  <c r="EM2" i="11"/>
  <c r="EN2" i="11"/>
  <c r="EO2" i="11"/>
  <c r="EP2" i="11"/>
  <c r="EQ2" i="11"/>
  <c r="ER2" i="11"/>
  <c r="ES2" i="11"/>
  <c r="ET2" i="11"/>
  <c r="EU2" i="11"/>
  <c r="EV2" i="11"/>
  <c r="EW2" i="11"/>
  <c r="EX2" i="11"/>
  <c r="EY2" i="11"/>
  <c r="EZ2" i="11"/>
  <c r="FA2" i="11"/>
  <c r="FB2" i="11"/>
  <c r="FC2" i="11"/>
  <c r="FD2" i="11"/>
  <c r="FE2" i="11"/>
  <c r="FF2" i="11"/>
  <c r="FG2" i="11"/>
  <c r="FH2" i="11"/>
  <c r="FI2" i="11"/>
  <c r="FJ2" i="11"/>
  <c r="FK2" i="11"/>
  <c r="FL2" i="11"/>
  <c r="FM2" i="11"/>
  <c r="FN2" i="11"/>
  <c r="FO2" i="11"/>
  <c r="FP2" i="11"/>
  <c r="FQ2" i="11"/>
  <c r="FR2" i="11"/>
  <c r="FS2" i="11"/>
  <c r="FT2" i="11"/>
  <c r="FU2" i="11"/>
  <c r="FV2" i="11"/>
  <c r="FW2" i="11"/>
  <c r="FX2" i="11"/>
  <c r="FY2" i="11"/>
  <c r="FZ2" i="11"/>
  <c r="GA2" i="11"/>
  <c r="GB2" i="11"/>
  <c r="GC2" i="11"/>
  <c r="GD2" i="11"/>
  <c r="GE2" i="11"/>
  <c r="GF2" i="11"/>
  <c r="GG2" i="11"/>
  <c r="GH2" i="11"/>
  <c r="GI2" i="11"/>
  <c r="GJ2" i="11"/>
  <c r="GK2" i="11"/>
  <c r="GL2" i="11"/>
  <c r="GM2" i="11"/>
  <c r="GN2" i="11"/>
  <c r="GO2" i="11"/>
  <c r="GP2" i="11"/>
  <c r="GQ2" i="11"/>
  <c r="GR2" i="11"/>
  <c r="GS2" i="11"/>
  <c r="GT2" i="11"/>
  <c r="GU2" i="11"/>
  <c r="GV2" i="11"/>
  <c r="GW2" i="11"/>
  <c r="GX2" i="11"/>
  <c r="GY2" i="11"/>
  <c r="GZ2" i="11"/>
  <c r="HA2" i="11"/>
  <c r="HB2" i="11"/>
  <c r="HC2" i="11"/>
  <c r="HD2" i="11"/>
  <c r="HE2" i="11"/>
  <c r="HF2" i="11"/>
  <c r="HG2" i="11"/>
  <c r="HH2" i="11"/>
  <c r="HI2" i="11"/>
  <c r="HJ2" i="11"/>
  <c r="HK2" i="11"/>
  <c r="HL2" i="11"/>
  <c r="HM2" i="11"/>
  <c r="HN2" i="11"/>
  <c r="HO2" i="11"/>
  <c r="HP2" i="11"/>
  <c r="HQ2" i="11"/>
  <c r="HR2" i="11"/>
  <c r="HS2" i="11"/>
  <c r="HT2" i="11"/>
  <c r="HU2" i="11"/>
  <c r="HV2" i="11"/>
  <c r="HW2" i="11"/>
  <c r="HX2" i="11"/>
  <c r="HY2" i="11"/>
  <c r="HZ2" i="11"/>
  <c r="IA2" i="11"/>
  <c r="IB2" i="11"/>
  <c r="IC2" i="11"/>
  <c r="ID2" i="11"/>
  <c r="IE2" i="11"/>
  <c r="IF2" i="11"/>
  <c r="IG2" i="11"/>
  <c r="IH2" i="11"/>
  <c r="II2" i="11"/>
  <c r="IJ2" i="11"/>
  <c r="IK2" i="11"/>
  <c r="IL2" i="11"/>
  <c r="IM2" i="11"/>
  <c r="IN2" i="11"/>
  <c r="IO2" i="11"/>
  <c r="IP2" i="11"/>
  <c r="IQ2" i="11"/>
  <c r="IR2" i="11"/>
  <c r="IS2" i="11"/>
  <c r="IT2" i="11"/>
  <c r="IU2" i="11"/>
  <c r="IV2" i="11"/>
  <c r="A1" i="11"/>
  <c r="B1" i="11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D1" i="11"/>
  <c r="BE1" i="11"/>
  <c r="BF1" i="11"/>
  <c r="BG1" i="11"/>
  <c r="BH1" i="11"/>
  <c r="BI1" i="11"/>
  <c r="BJ1" i="11"/>
  <c r="BK1" i="11"/>
  <c r="BL1" i="11"/>
  <c r="BM1" i="11"/>
  <c r="BN1" i="11"/>
  <c r="BO1" i="11"/>
  <c r="BP1" i="11"/>
  <c r="BQ1" i="11"/>
  <c r="BR1" i="11"/>
  <c r="BS1" i="11"/>
  <c r="BT1" i="11"/>
  <c r="BU1" i="11"/>
  <c r="BV1" i="11"/>
  <c r="BW1" i="11"/>
  <c r="BX1" i="11"/>
  <c r="BY1" i="11"/>
  <c r="BZ1" i="11"/>
  <c r="CA1" i="11"/>
  <c r="CB1" i="11"/>
  <c r="CC1" i="11"/>
  <c r="CD1" i="11"/>
  <c r="CE1" i="11"/>
  <c r="CF1" i="11"/>
  <c r="CG1" i="11"/>
  <c r="CH1" i="11"/>
  <c r="CI1" i="11"/>
  <c r="CJ1" i="11"/>
  <c r="CK1" i="11"/>
  <c r="CL1" i="11"/>
  <c r="CM1" i="11"/>
  <c r="CN1" i="11"/>
  <c r="CO1" i="11"/>
  <c r="CP1" i="11"/>
  <c r="CQ1" i="11"/>
  <c r="CR1" i="11"/>
  <c r="CS1" i="11"/>
  <c r="CT1" i="11"/>
  <c r="CU1" i="11"/>
  <c r="CV1" i="11"/>
  <c r="CW1" i="11"/>
  <c r="CX1" i="11"/>
  <c r="CY1" i="11"/>
  <c r="CZ1" i="11"/>
  <c r="DA1" i="11"/>
  <c r="DB1" i="11"/>
  <c r="DC1" i="11"/>
  <c r="DD1" i="11"/>
  <c r="DE1" i="11"/>
  <c r="DF1" i="11"/>
  <c r="DG1" i="11"/>
  <c r="DH1" i="11"/>
  <c r="DI1" i="11"/>
  <c r="DJ1" i="11"/>
  <c r="DK1" i="11"/>
  <c r="DL1" i="11"/>
  <c r="DM1" i="11"/>
  <c r="DN1" i="11"/>
  <c r="DO1" i="11"/>
  <c r="DP1" i="11"/>
  <c r="DQ1" i="11"/>
  <c r="DR1" i="11"/>
  <c r="DS1" i="11"/>
  <c r="DT1" i="11"/>
  <c r="DU1" i="11"/>
  <c r="DV1" i="11"/>
  <c r="DW1" i="11"/>
  <c r="DX1" i="11"/>
  <c r="DY1" i="11"/>
  <c r="DZ1" i="11"/>
  <c r="EA1" i="11"/>
  <c r="EB1" i="11"/>
  <c r="EC1" i="11"/>
  <c r="ED1" i="11"/>
  <c r="EE1" i="11"/>
  <c r="EF1" i="11"/>
  <c r="EG1" i="11"/>
  <c r="EH1" i="11"/>
  <c r="EI1" i="11"/>
  <c r="EJ1" i="11"/>
  <c r="EK1" i="11"/>
  <c r="EL1" i="11"/>
  <c r="EM1" i="11"/>
  <c r="EN1" i="11"/>
  <c r="EO1" i="11"/>
  <c r="EP1" i="11"/>
  <c r="EQ1" i="11"/>
  <c r="ER1" i="11"/>
  <c r="ES1" i="11"/>
  <c r="ET1" i="11"/>
  <c r="EU1" i="11"/>
  <c r="EV1" i="11"/>
  <c r="EW1" i="11"/>
  <c r="EX1" i="11"/>
  <c r="EY1" i="11"/>
  <c r="EZ1" i="11"/>
  <c r="FA1" i="11"/>
  <c r="FB1" i="11"/>
  <c r="FC1" i="11"/>
  <c r="FD1" i="11"/>
  <c r="FE1" i="11"/>
  <c r="FF1" i="11"/>
  <c r="FG1" i="11"/>
  <c r="FH1" i="11"/>
  <c r="FI1" i="11"/>
  <c r="FJ1" i="11"/>
  <c r="FK1" i="11"/>
  <c r="FL1" i="11"/>
  <c r="FM1" i="11"/>
  <c r="FN1" i="11"/>
  <c r="FO1" i="11"/>
  <c r="FP1" i="11"/>
  <c r="FQ1" i="11"/>
  <c r="FR1" i="11"/>
  <c r="FS1" i="11"/>
  <c r="FT1" i="11"/>
  <c r="FU1" i="11"/>
  <c r="FV1" i="11"/>
  <c r="FW1" i="11"/>
  <c r="FX1" i="11"/>
  <c r="FY1" i="11"/>
  <c r="FZ1" i="11"/>
  <c r="GA1" i="11"/>
  <c r="GB1" i="11"/>
  <c r="GC1" i="11"/>
  <c r="GD1" i="11"/>
  <c r="GE1" i="11"/>
  <c r="GF1" i="11"/>
  <c r="GG1" i="11"/>
  <c r="GH1" i="11"/>
  <c r="GI1" i="11"/>
  <c r="GJ1" i="11"/>
  <c r="GK1" i="11"/>
  <c r="GL1" i="11"/>
  <c r="GM1" i="11"/>
  <c r="GN1" i="11"/>
  <c r="GO1" i="11"/>
  <c r="GP1" i="11"/>
  <c r="GQ1" i="11"/>
  <c r="GR1" i="11"/>
  <c r="GS1" i="11"/>
  <c r="GT1" i="11"/>
  <c r="GU1" i="11"/>
  <c r="GV1" i="11"/>
  <c r="GW1" i="11"/>
  <c r="GX1" i="11"/>
  <c r="GY1" i="11"/>
  <c r="GZ1" i="11"/>
  <c r="HA1" i="11"/>
  <c r="HB1" i="11"/>
  <c r="HC1" i="11"/>
  <c r="HD1" i="11"/>
  <c r="HE1" i="11"/>
  <c r="HF1" i="11"/>
  <c r="HG1" i="11"/>
  <c r="HH1" i="11"/>
  <c r="HI1" i="11"/>
  <c r="HJ1" i="11"/>
  <c r="HK1" i="11"/>
  <c r="HL1" i="11"/>
  <c r="HM1" i="11"/>
  <c r="HN1" i="11"/>
  <c r="HO1" i="11"/>
  <c r="HP1" i="11"/>
  <c r="HQ1" i="11"/>
  <c r="HR1" i="11"/>
  <c r="HS1" i="11"/>
  <c r="HT1" i="11"/>
  <c r="HU1" i="11"/>
  <c r="HV1" i="11"/>
  <c r="HW1" i="11"/>
  <c r="HX1" i="11"/>
  <c r="HY1" i="11"/>
  <c r="HZ1" i="11"/>
  <c r="IA1" i="11"/>
  <c r="IB1" i="11"/>
  <c r="IC1" i="11"/>
  <c r="ID1" i="11"/>
  <c r="IE1" i="11"/>
  <c r="IF1" i="11"/>
  <c r="IG1" i="11"/>
  <c r="IH1" i="11"/>
  <c r="II1" i="11"/>
  <c r="IJ1" i="11"/>
  <c r="IK1" i="11"/>
  <c r="IL1" i="11"/>
  <c r="IM1" i="11"/>
  <c r="IN1" i="11"/>
  <c r="IO1" i="11"/>
  <c r="IP1" i="11"/>
  <c r="IQ1" i="11"/>
  <c r="IR1" i="11"/>
  <c r="IS1" i="11"/>
  <c r="IT1" i="11"/>
  <c r="IU1" i="11"/>
  <c r="IV1" i="11"/>
  <c r="F34" i="10" l="1"/>
  <c r="E34" i="10"/>
  <c r="R17" i="10"/>
  <c r="R16" i="10" l="1"/>
  <c r="R15" i="10"/>
  <c r="R14" i="10"/>
  <c r="R13" i="10"/>
  <c r="R12" i="10"/>
  <c r="R11" i="10"/>
  <c r="R10" i="10"/>
  <c r="R9" i="10"/>
  <c r="R8" i="10"/>
  <c r="R7" i="10"/>
  <c r="R6" i="10"/>
  <c r="R5" i="10"/>
  <c r="R33" i="10" l="1"/>
  <c r="L33" i="10"/>
  <c r="R32" i="10"/>
  <c r="L32" i="10"/>
  <c r="M32" i="10"/>
  <c r="R31" i="10"/>
  <c r="L31" i="10"/>
  <c r="M33" i="10"/>
  <c r="R30" i="10"/>
  <c r="M30" i="10"/>
  <c r="L30" i="10"/>
  <c r="R29" i="10"/>
  <c r="M29" i="10"/>
  <c r="L29" i="10"/>
  <c r="R28" i="10"/>
  <c r="L28" i="10"/>
  <c r="M28" i="10"/>
  <c r="R27" i="10"/>
  <c r="M27" i="10"/>
  <c r="L27" i="10"/>
  <c r="R26" i="10"/>
  <c r="M26" i="10"/>
  <c r="L26" i="10"/>
  <c r="R25" i="10"/>
  <c r="L25" i="10"/>
  <c r="M25" i="10"/>
  <c r="R24" i="10"/>
  <c r="R3" i="11" s="1"/>
  <c r="M24" i="10"/>
  <c r="L24" i="10"/>
  <c r="R23" i="10"/>
  <c r="M23" i="10"/>
  <c r="L23" i="10"/>
  <c r="R22" i="10"/>
  <c r="M22" i="10"/>
  <c r="Q22" i="10" s="1"/>
  <c r="P23" i="10" s="1"/>
  <c r="L22" i="10"/>
  <c r="O22" i="10" s="1"/>
  <c r="N23" i="10" s="1"/>
  <c r="F16" i="10"/>
  <c r="E16" i="10"/>
  <c r="M15" i="10"/>
  <c r="L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Q5" i="10" s="1"/>
  <c r="P6" i="10" s="1"/>
  <c r="L5" i="10"/>
  <c r="O5" i="10" s="1"/>
  <c r="N6" i="10" s="1"/>
  <c r="M16" i="10" l="1"/>
  <c r="F17" i="10"/>
  <c r="Q6" i="10"/>
  <c r="P7" i="10" s="1"/>
  <c r="L16" i="10"/>
  <c r="E17" i="10"/>
  <c r="L17" i="10" s="1"/>
  <c r="Q23" i="10"/>
  <c r="P24" i="10" s="1"/>
  <c r="Q24" i="10" s="1"/>
  <c r="P25" i="10" s="1"/>
  <c r="Q25" i="10" s="1"/>
  <c r="P26" i="10" s="1"/>
  <c r="Q26" i="10" s="1"/>
  <c r="P27" i="10" s="1"/>
  <c r="Q27" i="10" s="1"/>
  <c r="P28" i="10" s="1"/>
  <c r="Q28" i="10" s="1"/>
  <c r="P29" i="10" s="1"/>
  <c r="Q29" i="10" s="1"/>
  <c r="P30" i="10" s="1"/>
  <c r="Q30" i="10" s="1"/>
  <c r="P31" i="10" s="1"/>
  <c r="O23" i="10"/>
  <c r="N24" i="10" s="1"/>
  <c r="O24" i="10" s="1"/>
  <c r="N25" i="10" s="1"/>
  <c r="O25" i="10" s="1"/>
  <c r="N26" i="10" s="1"/>
  <c r="O26" i="10" s="1"/>
  <c r="N27" i="10" s="1"/>
  <c r="O27" i="10" s="1"/>
  <c r="N28" i="10" s="1"/>
  <c r="O28" i="10" s="1"/>
  <c r="N29" i="10" s="1"/>
  <c r="O29" i="10" s="1"/>
  <c r="N30" i="10" s="1"/>
  <c r="O30" i="10" s="1"/>
  <c r="N31" i="10" s="1"/>
  <c r="O31" i="10" s="1"/>
  <c r="N32" i="10" s="1"/>
  <c r="O32" i="10" s="1"/>
  <c r="N33" i="10" s="1"/>
  <c r="O33" i="10" s="1"/>
  <c r="O6" i="10"/>
  <c r="N7" i="10" s="1"/>
  <c r="O7" i="10" s="1"/>
  <c r="N8" i="10" s="1"/>
  <c r="O8" i="10" s="1"/>
  <c r="N9" i="10" s="1"/>
  <c r="O9" i="10" s="1"/>
  <c r="N10" i="10" s="1"/>
  <c r="O10" i="10" s="1"/>
  <c r="N11" i="10" s="1"/>
  <c r="O11" i="10" s="1"/>
  <c r="N12" i="10" s="1"/>
  <c r="O12" i="10" s="1"/>
  <c r="N13" i="10" s="1"/>
  <c r="O13" i="10" s="1"/>
  <c r="N14" i="10" s="1"/>
  <c r="O14" i="10" s="1"/>
  <c r="N15" i="10" s="1"/>
  <c r="O15" i="10" s="1"/>
  <c r="N16" i="10" s="1"/>
  <c r="O16" i="10" s="1"/>
  <c r="Q7" i="10"/>
  <c r="P8" i="10" s="1"/>
  <c r="Q8" i="10" s="1"/>
  <c r="P9" i="10" s="1"/>
  <c r="Q9" i="10" s="1"/>
  <c r="P10" i="10" s="1"/>
  <c r="Q10" i="10" s="1"/>
  <c r="P11" i="10" s="1"/>
  <c r="Q11" i="10" s="1"/>
  <c r="P12" i="10" s="1"/>
  <c r="Q12" i="10" s="1"/>
  <c r="P13" i="10" s="1"/>
  <c r="Q13" i="10" s="1"/>
  <c r="P14" i="10" s="1"/>
  <c r="Q14" i="10" s="1"/>
  <c r="P15" i="10" s="1"/>
  <c r="Q15" i="10" s="1"/>
  <c r="P16" i="10" s="1"/>
  <c r="Q16" i="10" s="1"/>
  <c r="M31" i="10"/>
  <c r="Q31" i="10" l="1"/>
  <c r="P32" i="10" s="1"/>
  <c r="Q32" i="10" s="1"/>
  <c r="P33" i="10" s="1"/>
  <c r="Q33" i="10" s="1"/>
</calcChain>
</file>

<file path=xl/sharedStrings.xml><?xml version="1.0" encoding="utf-8"?>
<sst xmlns="http://schemas.openxmlformats.org/spreadsheetml/2006/main" count="59" uniqueCount="52">
  <si>
    <t>No</t>
  </si>
  <si>
    <t>Delta-x</t>
  </si>
  <si>
    <t>delta-y</t>
  </si>
  <si>
    <t>x-start</t>
  </si>
  <si>
    <t>y-start</t>
  </si>
  <si>
    <t>x-end</t>
  </si>
  <si>
    <t>y-end</t>
  </si>
  <si>
    <t>x</t>
  </si>
  <si>
    <t>y</t>
  </si>
  <si>
    <t>Cluster A 5</t>
  </si>
  <si>
    <t>Cluster A 6</t>
  </si>
  <si>
    <t>Cluster A 7</t>
  </si>
  <si>
    <t>Cluster A 8</t>
  </si>
  <si>
    <t>Cluster A 9</t>
  </si>
  <si>
    <t>Cluster A 10</t>
  </si>
  <si>
    <t>Cluster A 11</t>
  </si>
  <si>
    <t>Cluster A 12</t>
  </si>
  <si>
    <t>Cluster B 6</t>
  </si>
  <si>
    <t>Cluster B 7</t>
  </si>
  <si>
    <t>Cluster B 8</t>
  </si>
  <si>
    <t>Cluster B 9</t>
  </si>
  <si>
    <t>Cluster B 10</t>
  </si>
  <si>
    <t>Cluster B 11</t>
  </si>
  <si>
    <t>Cluster B 12</t>
  </si>
  <si>
    <t>Anzahl Mitarbeiter</t>
  </si>
  <si>
    <t>AAAAAG7v/RQ=</t>
  </si>
  <si>
    <t>PwC 2011</t>
  </si>
  <si>
    <t>Ernst &amp; Young</t>
  </si>
  <si>
    <t>PwC Wirtschaftsprüfung</t>
  </si>
  <si>
    <t>PwC Steuer und Recht</t>
  </si>
  <si>
    <t>PwC Wirtschaftsberatung</t>
  </si>
  <si>
    <t>PwC Interne Dienste</t>
  </si>
  <si>
    <t>E&amp;Y Audit and Assurance</t>
  </si>
  <si>
    <t>E&amp;Y Tax and Legal</t>
  </si>
  <si>
    <t>E&amp;Y Advisory Services</t>
  </si>
  <si>
    <t>E&amp;Y Accounting Services</t>
  </si>
  <si>
    <t>E&amp;Y Corporate Services</t>
  </si>
  <si>
    <t>E&amp;Y Summe</t>
  </si>
  <si>
    <t>PwC Summe</t>
  </si>
  <si>
    <t>© 2011, Peter Bretscher</t>
  </si>
  <si>
    <t>Visualization is part of Business Engineering Systems.</t>
  </si>
  <si>
    <t>Registered Copyright TXu 512 154; March 20, 1992</t>
  </si>
  <si>
    <t>You may use it for free for private use.</t>
  </si>
  <si>
    <t>Commercial use needs an appropriate license.</t>
  </si>
  <si>
    <t>Licensor:</t>
  </si>
  <si>
    <t>www.bengin.com</t>
  </si>
  <si>
    <t>www.insede.org</t>
  </si>
  <si>
    <t>www.performancevector.net</t>
  </si>
  <si>
    <t>Ingenieurbüro für Wirtschaftsentwicklung</t>
  </si>
  <si>
    <t>Alpsteinstrasse 4, 9034 Eggersriet (Switzerland)</t>
  </si>
  <si>
    <t>+41 71 877 14 11</t>
  </si>
  <si>
    <t>Umsatz [Mio CHF]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</si>
</sst>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07]d/\ mmmm\ yy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1" fontId="0" fillId="0" borderId="1" xfId="0" applyNumberFormat="1" applyBorder="1"/>
    <xf numFmtId="2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0" fontId="2" fillId="0" borderId="5" xfId="0" applyFont="1" applyBorder="1"/>
    <xf numFmtId="3" fontId="2" fillId="0" borderId="5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4" fillId="0" borderId="0" xfId="1"/>
    <xf numFmtId="0" fontId="0" fillId="0" borderId="0" xfId="0" quotePrefix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8" xfId="0" applyBorder="1"/>
    <xf numFmtId="0" fontId="0" fillId="2" borderId="9" xfId="0" applyFill="1" applyBorder="1"/>
    <xf numFmtId="0" fontId="0" fillId="3" borderId="9" xfId="0" applyFill="1" applyBorder="1"/>
    <xf numFmtId="0" fontId="0" fillId="4" borderId="9" xfId="0" applyFill="1" applyBorder="1"/>
    <xf numFmtId="0" fontId="1" fillId="0" borderId="8" xfId="0" applyFont="1" applyBorder="1"/>
    <xf numFmtId="0" fontId="2" fillId="6" borderId="9" xfId="0" applyFont="1" applyFill="1" applyBorder="1"/>
    <xf numFmtId="0" fontId="2" fillId="5" borderId="9" xfId="0" applyFont="1" applyFill="1" applyBorder="1"/>
    <xf numFmtId="0" fontId="0" fillId="7" borderId="9" xfId="0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4" borderId="9" xfId="0" applyFont="1" applyFill="1" applyBorder="1"/>
    <xf numFmtId="2" fontId="1" fillId="0" borderId="1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800">
                <a:effectLst/>
              </a:rPr>
              <a:t>Performancevector: </a:t>
            </a:r>
          </a:p>
          <a:p>
            <a:pPr>
              <a:defRPr/>
            </a:pPr>
            <a:r>
              <a:rPr lang="de-CH" sz="1800">
                <a:effectLst/>
              </a:rPr>
              <a:t>Vergleich PwC 2011 mit Ernst &amp; Young 2006</a:t>
            </a:r>
            <a:endParaRPr lang="de-CH">
              <a:effectLst/>
            </a:endParaRPr>
          </a:p>
        </c:rich>
      </c:tx>
      <c:layout>
        <c:manualLayout>
          <c:xMode val="edge"/>
          <c:yMode val="edge"/>
          <c:x val="0.13693031051766522"/>
          <c:y val="2.5329136313490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379278667572"/>
          <c:y val="0.15809661615930112"/>
          <c:w val="0.85438555364242053"/>
          <c:h val="0.553153477472924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'zwei Datensätze'!$D$5</c:f>
              <c:strCache>
                <c:ptCount val="1"/>
                <c:pt idx="0">
                  <c:v>PwC Wirtschaftsprüfung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Datensätze'!$N$5:$O$5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1298</c:v>
                </c:pt>
              </c:numCache>
            </c:numRef>
          </c:xVal>
          <c:yVal>
            <c:numRef>
              <c:f>'zwei Datensätze'!$P$5:$Q$5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353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'zwei Datensätze'!$D$6</c:f>
              <c:strCache>
                <c:ptCount val="1"/>
                <c:pt idx="0">
                  <c:v>PwC Steuer und Recht</c:v>
                </c:pt>
              </c:strCache>
            </c:strRef>
          </c:tx>
          <c:spPr>
            <a:ln w="31750">
              <a:solidFill>
                <a:schemeClr val="accent2"/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Datensätze'!$N$6:$O$6</c:f>
              <c:numCache>
                <c:formatCode>0.00</c:formatCode>
                <c:ptCount val="2"/>
                <c:pt idx="0">
                  <c:v>1298</c:v>
                </c:pt>
                <c:pt idx="1">
                  <c:v>2059</c:v>
                </c:pt>
              </c:numCache>
            </c:numRef>
          </c:xVal>
          <c:yVal>
            <c:numRef>
              <c:f>'zwei Datensätze'!$P$6:$Q$6</c:f>
              <c:numCache>
                <c:formatCode>0.00</c:formatCode>
                <c:ptCount val="2"/>
                <c:pt idx="0">
                  <c:v>353</c:v>
                </c:pt>
                <c:pt idx="1">
                  <c:v>534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'zwei Datensätze'!$D$7</c:f>
              <c:strCache>
                <c:ptCount val="1"/>
                <c:pt idx="0">
                  <c:v>PwC Wirtschaftsberatung</c:v>
                </c:pt>
              </c:strCache>
            </c:strRef>
          </c:tx>
          <c:spPr>
            <a:ln w="31750">
              <a:solidFill>
                <a:schemeClr val="accent4"/>
              </a:solidFill>
              <a:tailEnd type="arrow" w="med" len="med"/>
            </a:ln>
          </c:spPr>
          <c:marker>
            <c:symbol val="none"/>
          </c:marker>
          <c:xVal>
            <c:numRef>
              <c:f>'zwei Datensätze'!$N$7:$O$7</c:f>
              <c:numCache>
                <c:formatCode>0.00</c:formatCode>
                <c:ptCount val="2"/>
                <c:pt idx="0">
                  <c:v>2059</c:v>
                </c:pt>
                <c:pt idx="1">
                  <c:v>2376</c:v>
                </c:pt>
              </c:numCache>
            </c:numRef>
          </c:xVal>
          <c:yVal>
            <c:numRef>
              <c:f>'zwei Datensätze'!$P$7:$Q$7</c:f>
              <c:numCache>
                <c:formatCode>0.00</c:formatCode>
                <c:ptCount val="2"/>
                <c:pt idx="0">
                  <c:v>534</c:v>
                </c:pt>
                <c:pt idx="1">
                  <c:v>619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'zwei Datensätze'!$D$8</c:f>
              <c:strCache>
                <c:ptCount val="1"/>
                <c:pt idx="0">
                  <c:v>PwC Interne Dienste</c:v>
                </c:pt>
              </c:strCache>
            </c:strRef>
          </c:tx>
          <c:spPr>
            <a:ln w="3175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'zwei Datensätze'!$N$8:$O$8</c:f>
              <c:numCache>
                <c:formatCode>0.00</c:formatCode>
                <c:ptCount val="2"/>
                <c:pt idx="0">
                  <c:v>2376</c:v>
                </c:pt>
                <c:pt idx="1">
                  <c:v>2819</c:v>
                </c:pt>
              </c:numCache>
            </c:numRef>
          </c:xVal>
          <c:yVal>
            <c:numRef>
              <c:f>'zwei Datensätze'!$P$8:$Q$8</c:f>
              <c:numCache>
                <c:formatCode>0.00</c:formatCode>
                <c:ptCount val="2"/>
                <c:pt idx="0">
                  <c:v>619</c:v>
                </c:pt>
                <c:pt idx="1">
                  <c:v>619</c:v>
                </c:pt>
              </c:numCache>
            </c:numRef>
          </c:yVal>
          <c:smooth val="0"/>
        </c:ser>
        <c:ser>
          <c:idx val="12"/>
          <c:order val="4"/>
          <c:tx>
            <c:strRef>
              <c:f>'zwei Datensätze'!$D$17</c:f>
              <c:strCache>
                <c:ptCount val="1"/>
                <c:pt idx="0">
                  <c:v>PwC Summe</c:v>
                </c:pt>
              </c:strCache>
            </c:strRef>
          </c:tx>
          <c:spPr>
            <a:ln w="31750">
              <a:solidFill>
                <a:srgbClr val="FF0000"/>
              </a:solidFill>
              <a:tailEnd type="arrow" w="med" len="med"/>
            </a:ln>
          </c:spPr>
          <c:marker>
            <c:symbol val="none"/>
          </c:marker>
          <c:xVal>
            <c:numRef>
              <c:f>('zwei Datensätze'!$N$5,'zwei Datensätze'!$O$16)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2819</c:v>
                </c:pt>
              </c:numCache>
            </c:numRef>
          </c:xVal>
          <c:yVal>
            <c:numRef>
              <c:f>('zwei Datensätze'!$P$5,'zwei Datensätze'!$Q$16)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619</c:v>
                </c:pt>
              </c:numCache>
            </c:numRef>
          </c:yVal>
          <c:smooth val="0"/>
        </c:ser>
        <c:ser>
          <c:idx val="13"/>
          <c:order val="5"/>
          <c:tx>
            <c:strRef>
              <c:f>'zwei Datensätze'!$D$22</c:f>
              <c:strCache>
                <c:ptCount val="1"/>
                <c:pt idx="0">
                  <c:v>E&amp;Y Audit and Assurance</c:v>
                </c:pt>
              </c:strCache>
            </c:strRef>
          </c:tx>
          <c:spPr>
            <a:ln w="50800">
              <a:solidFill>
                <a:schemeClr val="tx2">
                  <a:lumMod val="60000"/>
                  <a:lumOff val="40000"/>
                </a:schemeClr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Datensätze'!$N$22:$O$22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871</c:v>
                </c:pt>
              </c:numCache>
            </c:numRef>
          </c:xVal>
          <c:yVal>
            <c:numRef>
              <c:f>'zwei Datensätze'!$P$22:$Q$22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292.3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'zwei Datensätze'!$D$23</c:f>
              <c:strCache>
                <c:ptCount val="1"/>
                <c:pt idx="0">
                  <c:v>E&amp;Y Tax and Legal</c:v>
                </c:pt>
              </c:strCache>
            </c:strRef>
          </c:tx>
          <c:spPr>
            <a:ln w="50800">
              <a:solidFill>
                <a:schemeClr val="accent2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Datensätze'!$N$23:$O$23</c:f>
              <c:numCache>
                <c:formatCode>0.00</c:formatCode>
                <c:ptCount val="2"/>
                <c:pt idx="0">
                  <c:v>871</c:v>
                </c:pt>
                <c:pt idx="1">
                  <c:v>1217</c:v>
                </c:pt>
              </c:numCache>
            </c:numRef>
          </c:xVal>
          <c:yVal>
            <c:numRef>
              <c:f>'zwei Datensätze'!$P$23:$Q$23</c:f>
              <c:numCache>
                <c:formatCode>0.00</c:formatCode>
                <c:ptCount val="2"/>
                <c:pt idx="0">
                  <c:v>292.3</c:v>
                </c:pt>
                <c:pt idx="1">
                  <c:v>415.5</c:v>
                </c:pt>
              </c:numCache>
            </c:numRef>
          </c:yVal>
          <c:smooth val="0"/>
        </c:ser>
        <c:ser>
          <c:idx val="15"/>
          <c:order val="7"/>
          <c:tx>
            <c:strRef>
              <c:f>'zwei Datensätze'!$D$24</c:f>
              <c:strCache>
                <c:ptCount val="1"/>
                <c:pt idx="0">
                  <c:v>E&amp;Y Advisory Services</c:v>
                </c:pt>
              </c:strCache>
            </c:strRef>
          </c:tx>
          <c:spPr>
            <a:ln w="50800">
              <a:solidFill>
                <a:schemeClr val="accent4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'zwei Datensätze'!$N$24:$O$24</c:f>
              <c:numCache>
                <c:formatCode>0.00</c:formatCode>
                <c:ptCount val="2"/>
                <c:pt idx="0">
                  <c:v>1217</c:v>
                </c:pt>
                <c:pt idx="1">
                  <c:v>1316</c:v>
                </c:pt>
              </c:numCache>
            </c:numRef>
          </c:xVal>
          <c:yVal>
            <c:numRef>
              <c:f>'zwei Datensätze'!$P$24:$Q$24</c:f>
              <c:numCache>
                <c:formatCode>0.00</c:formatCode>
                <c:ptCount val="2"/>
                <c:pt idx="0">
                  <c:v>415.5</c:v>
                </c:pt>
                <c:pt idx="1">
                  <c:v>463.4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'zwei Datensätze'!$D$25</c:f>
              <c:strCache>
                <c:ptCount val="1"/>
                <c:pt idx="0">
                  <c:v>E&amp;Y Accounting Services</c:v>
                </c:pt>
              </c:strCache>
            </c:strRef>
          </c:tx>
          <c:spPr>
            <a:ln w="50800">
              <a:solidFill>
                <a:srgbClr val="00B050"/>
              </a:solidFill>
              <a:tailEnd type="triangle" w="lg" len="med"/>
            </a:ln>
          </c:spPr>
          <c:marker>
            <c:symbol val="none"/>
          </c:marker>
          <c:xVal>
            <c:numRef>
              <c:f>'zwei Datensätze'!$N$25:$O$25</c:f>
              <c:numCache>
                <c:formatCode>0.00</c:formatCode>
                <c:ptCount val="2"/>
                <c:pt idx="0">
                  <c:v>1316</c:v>
                </c:pt>
                <c:pt idx="1">
                  <c:v>1392</c:v>
                </c:pt>
              </c:numCache>
            </c:numRef>
          </c:xVal>
          <c:yVal>
            <c:numRef>
              <c:f>'zwei Datensätze'!$P$25:$Q$25</c:f>
              <c:numCache>
                <c:formatCode>0.00</c:formatCode>
                <c:ptCount val="2"/>
                <c:pt idx="0">
                  <c:v>463.4</c:v>
                </c:pt>
                <c:pt idx="1">
                  <c:v>482.09999999999997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'zwei Datensätze'!$D$26</c:f>
              <c:strCache>
                <c:ptCount val="1"/>
                <c:pt idx="0">
                  <c:v>E&amp;Y Corporate Services</c:v>
                </c:pt>
              </c:strCache>
            </c:strRef>
          </c:tx>
          <c:spPr>
            <a:ln w="50800">
              <a:solidFill>
                <a:schemeClr val="accent6"/>
              </a:solidFill>
              <a:tailEnd type="triangle" w="lg" len="med"/>
            </a:ln>
          </c:spPr>
          <c:marker>
            <c:symbol val="none"/>
          </c:marker>
          <c:xVal>
            <c:numRef>
              <c:f>'zwei Datensätze'!$N$26:$O$26</c:f>
              <c:numCache>
                <c:formatCode>0.00</c:formatCode>
                <c:ptCount val="2"/>
                <c:pt idx="0">
                  <c:v>1392</c:v>
                </c:pt>
                <c:pt idx="1">
                  <c:v>1690</c:v>
                </c:pt>
              </c:numCache>
            </c:numRef>
          </c:xVal>
          <c:yVal>
            <c:numRef>
              <c:f>'zwei Datensätze'!$P$26:$Q$26</c:f>
              <c:numCache>
                <c:formatCode>0.00</c:formatCode>
                <c:ptCount val="2"/>
                <c:pt idx="0">
                  <c:v>482.09999999999997</c:v>
                </c:pt>
                <c:pt idx="1">
                  <c:v>482.09999999999997</c:v>
                </c:pt>
              </c:numCache>
            </c:numRef>
          </c:yVal>
          <c:smooth val="0"/>
        </c:ser>
        <c:ser>
          <c:idx val="25"/>
          <c:order val="10"/>
          <c:tx>
            <c:strRef>
              <c:f>'zwei Datensätze'!$D$34</c:f>
              <c:strCache>
                <c:ptCount val="1"/>
                <c:pt idx="0">
                  <c:v>E&amp;Y Summe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  <a:tailEnd type="triangle" w="lg" len="med"/>
            </a:ln>
          </c:spPr>
          <c:marker>
            <c:symbol val="none"/>
          </c:marker>
          <c:xVal>
            <c:numRef>
              <c:f>('zwei Datensätze'!$N$22,'zwei Datensätze'!$O$33)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1690</c:v>
                </c:pt>
              </c:numCache>
            </c:numRef>
          </c:xVal>
          <c:yVal>
            <c:numRef>
              <c:f>('zwei Datensätze'!$P$22,'zwei Datensätze'!$Q$33)</c:f>
              <c:numCache>
                <c:formatCode>0.00</c:formatCode>
                <c:ptCount val="2"/>
                <c:pt idx="0" formatCode="Standard">
                  <c:v>0</c:v>
                </c:pt>
                <c:pt idx="1">
                  <c:v>482.09999999999997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09664"/>
        <c:axId val="135811840"/>
      </c:scatterChart>
      <c:valAx>
        <c:axId val="135809664"/>
        <c:scaling>
          <c:orientation val="minMax"/>
        </c:scaling>
        <c:delete val="0"/>
        <c:axPos val="b"/>
        <c:majorGridlines/>
        <c:title>
          <c:tx>
            <c:strRef>
              <c:f>'zwei Datensätze'!$E$4</c:f>
              <c:strCache>
                <c:ptCount val="1"/>
                <c:pt idx="0">
                  <c:v>Anzahl Mitarbeiter</c:v>
                </c:pt>
              </c:strCache>
            </c:strRef>
          </c:tx>
          <c:layout>
            <c:manualLayout>
              <c:xMode val="edge"/>
              <c:yMode val="edge"/>
              <c:x val="0.7590816921850988"/>
              <c:y val="0.7493022000862557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35811840"/>
        <c:crosses val="autoZero"/>
        <c:crossBetween val="midCat"/>
      </c:valAx>
      <c:valAx>
        <c:axId val="135811840"/>
        <c:scaling>
          <c:orientation val="minMax"/>
        </c:scaling>
        <c:delete val="0"/>
        <c:axPos val="l"/>
        <c:majorGridlines/>
        <c:title>
          <c:tx>
            <c:strRef>
              <c:f>'zwei Datensätze'!$F$4</c:f>
              <c:strCache>
                <c:ptCount val="1"/>
                <c:pt idx="0">
                  <c:v>Umsatz [Mio CHF]</c:v>
                </c:pt>
              </c:strCache>
            </c:strRef>
          </c:tx>
          <c:layout>
            <c:manualLayout>
              <c:xMode val="edge"/>
              <c:yMode val="edge"/>
              <c:x val="1.6209303318344814E-2"/>
              <c:y val="0.16679156507310841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de-DE"/>
            </a:p>
          </c:txPr>
        </c:title>
        <c:numFmt formatCode="Standard" sourceLinked="1"/>
        <c:majorTickMark val="none"/>
        <c:minorTickMark val="none"/>
        <c:tickLblPos val="nextTo"/>
        <c:crossAx val="135809664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ayout>
        <c:manualLayout>
          <c:xMode val="edge"/>
          <c:yMode val="edge"/>
          <c:x val="3.7807444981427483E-2"/>
          <c:y val="0.80685653277549196"/>
          <c:w val="0.9340767663857491"/>
          <c:h val="0.12129230580136179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130630</xdr:colOff>
      <xdr:row>1</xdr:row>
      <xdr:rowOff>154102</xdr:rowOff>
    </xdr:from>
    <xdr:to>
      <xdr:col>22</xdr:col>
      <xdr:colOff>367392</xdr:colOff>
      <xdr:row>49</xdr:row>
      <xdr:rowOff>70757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0.01876</cdr:x>
      <cdr:y>0.93987</cdr:y>
    </cdr:from>
    <cdr:to>
      <cdr:x>0.68798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9699" y="4896908"/>
          <a:ext cx="4984751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(C) 2011</a:t>
          </a:r>
          <a:r>
            <a:rPr lang="de-CH" sz="1000" baseline="0"/>
            <a:t> </a:t>
          </a:r>
          <a:r>
            <a:rPr lang="de-CH" sz="1000"/>
            <a:t>peter.bretscher@bengin.com www.performancevector.net </a:t>
          </a:r>
          <a:br>
            <a:rPr lang="de-CH" sz="1000"/>
          </a:br>
          <a:r>
            <a:rPr lang="de-CH" sz="1000"/>
            <a:t>Graphics are part of Business Engineering Systems, registered copyright TXu 512 154, LNo 4100001</a:t>
          </a:r>
        </a:p>
      </cdr:txBody>
    </cdr:sp>
  </cdr:relSizeAnchor>
  <cdr:relSizeAnchor xmlns:cdr="http://schemas.openxmlformats.org/drawingml/2006/chartDrawing">
    <cdr:from>
      <cdr:x>0.00706</cdr:x>
      <cdr:y>0.00829</cdr:y>
    </cdr:from>
    <cdr:to>
      <cdr:x>0.00706</cdr:x>
      <cdr:y>0.00829</cdr:y>
    </cdr:to>
    <cdr:sp macro="" textlink="">
      <cdr:nvSpPr>
        <cdr:cNvPr id="3" name="DVCHARTID" hidden="1"/>
        <cdr:cNvSpPr txBox="1"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" rtlCol="0" anchor="ctr"/>
        <a:lstStyle xmlns:a="http://schemas.openxmlformats.org/drawingml/2006/main"/>
        <a:p xmlns:a="http://schemas.openxmlformats.org/drawingml/2006/main">
          <a:pPr algn="r"/>
          <a:r>
            <a:rPr lang="de-CH" sz="1100"/>
            <a:t>8mJOkxXXD8ljTkcLPKN72t</a:t>
          </a:r>
        </a:p>
      </cdr:txBody>
    </cdr:sp>
  </cdr:relSizeAnchor>
  <cdr:relSizeAnchor xmlns:cdr="http://schemas.openxmlformats.org/drawingml/2006/chartDrawing">
    <cdr:from>
      <cdr:x>0.29212</cdr:x>
      <cdr:y>0.05301</cdr:y>
    </cdr:from>
    <cdr:to>
      <cdr:x>0.38343</cdr:x>
      <cdr:y>0.18079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925536" y="37929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0.53261</cdr:x>
      <cdr:y>0.25886</cdr:y>
    </cdr:from>
    <cdr:to>
      <cdr:x>0.62392</cdr:x>
      <cdr:y>0.31789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5333999" y="2148228"/>
          <a:ext cx="914400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2400"/>
            <a:t>E &amp; Y</a:t>
          </a:r>
        </a:p>
      </cdr:txBody>
    </cdr:sp>
  </cdr:relSizeAnchor>
  <cdr:relSizeAnchor xmlns:cdr="http://schemas.openxmlformats.org/drawingml/2006/chartDrawing">
    <cdr:from>
      <cdr:x>0.87328</cdr:x>
      <cdr:y>0.16025</cdr:y>
    </cdr:from>
    <cdr:to>
      <cdr:x>0.96459</cdr:x>
      <cdr:y>0.21928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745764" y="1329871"/>
          <a:ext cx="914400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2400"/>
            <a:t>PwC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formancevector.net/" TargetMode="External"/><Relationship Id="rId2" Type="http://schemas.openxmlformats.org/officeDocument/2006/relationships/hyperlink" Target="http://www.insede.org/" TargetMode="External"/><Relationship Id="rId1" Type="http://schemas.openxmlformats.org/officeDocument/2006/relationships/hyperlink" Target="http://www.bengin.com/" TargetMode="External"/><Relationship Id="rId6" Type="http://schemas.openxmlformats.org/officeDocument/2006/relationships/drawing" Target="../drawings/drawing1.xml"/><Relationship Id="rId5" Type="http://schemas.openxmlformats.org/officeDocument/2006/relationships/customProperty" Target="../customProperty1.bin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W50"/>
  <sheetViews>
    <sheetView showGridLines="0" showRowColHeaders="0" tabSelected="1" zoomScale="90" zoomScaleNormal="90" workbookViewId="0"/>
  </sheetViews>
  <sheetFormatPr baseColWidth="10" defaultColWidth="11.42578125" defaultRowHeight="15" x14ac:dyDescent="0.25"/>
  <cols>
    <col min="1" max="1" width="1.7109375" customWidth="1"/>
    <col min="2" max="2" width="2.7109375" customWidth="1"/>
    <col min="3" max="3" width="1.7109375" customWidth="1"/>
    <col min="4" max="4" width="21" customWidth="1"/>
    <col min="5" max="5" width="16.7109375" customWidth="1"/>
    <col min="6" max="6" width="16.85546875" customWidth="1"/>
    <col min="7" max="7" width="6.42578125" style="19" customWidth="1"/>
    <col min="8" max="11" width="2.7109375" style="18" customWidth="1"/>
    <col min="12" max="19" width="5.28515625" style="18" customWidth="1"/>
    <col min="20" max="20" width="5.28515625" customWidth="1"/>
  </cols>
  <sheetData>
    <row r="2" spans="1:23" x14ac:dyDescent="0.25">
      <c r="E2" s="33" t="s">
        <v>7</v>
      </c>
      <c r="F2" s="33" t="s">
        <v>8</v>
      </c>
      <c r="G2" s="5"/>
      <c r="H2" s="1"/>
    </row>
    <row r="3" spans="1:23" x14ac:dyDescent="0.25">
      <c r="E3" s="10">
        <v>2011</v>
      </c>
      <c r="F3" s="10">
        <f>E3</f>
        <v>2011</v>
      </c>
      <c r="L3" s="18">
        <f>E3</f>
        <v>2011</v>
      </c>
      <c r="M3" s="18">
        <f>F3</f>
        <v>2011</v>
      </c>
    </row>
    <row r="4" spans="1:23" x14ac:dyDescent="0.25">
      <c r="A4" s="17"/>
      <c r="B4" s="51" t="s">
        <v>0</v>
      </c>
      <c r="C4" s="52"/>
      <c r="D4" s="32" t="s">
        <v>26</v>
      </c>
      <c r="E4" s="8" t="s">
        <v>24</v>
      </c>
      <c r="F4" s="6" t="s">
        <v>51</v>
      </c>
      <c r="G4" s="5"/>
      <c r="H4" s="1"/>
      <c r="I4" s="1"/>
      <c r="L4" s="1" t="s">
        <v>1</v>
      </c>
      <c r="M4" s="1" t="s">
        <v>2</v>
      </c>
      <c r="N4" s="1" t="s">
        <v>3</v>
      </c>
      <c r="O4" s="1" t="s">
        <v>5</v>
      </c>
      <c r="P4" s="1" t="s">
        <v>4</v>
      </c>
      <c r="Q4" s="1" t="s">
        <v>6</v>
      </c>
    </row>
    <row r="5" spans="1:23" x14ac:dyDescent="0.25">
      <c r="A5" s="17"/>
      <c r="B5" s="43">
        <v>1</v>
      </c>
      <c r="C5" s="53"/>
      <c r="D5" s="7" t="s">
        <v>28</v>
      </c>
      <c r="E5" s="20">
        <v>1298</v>
      </c>
      <c r="F5" s="9">
        <v>353</v>
      </c>
      <c r="H5" s="4"/>
      <c r="I5" s="2"/>
      <c r="L5" s="2">
        <f>E5</f>
        <v>1298</v>
      </c>
      <c r="M5" s="2">
        <f>F5</f>
        <v>353</v>
      </c>
      <c r="N5" s="18">
        <v>0</v>
      </c>
      <c r="O5" s="4">
        <f t="shared" ref="O5:O16" si="0">N5+L5</f>
        <v>1298</v>
      </c>
      <c r="P5" s="18">
        <v>0</v>
      </c>
      <c r="Q5" s="4">
        <f>P5+M5</f>
        <v>353</v>
      </c>
      <c r="R5" s="18" t="str">
        <f>D5</f>
        <v>PwC Wirtschaftsprüfung</v>
      </c>
      <c r="U5" s="3"/>
      <c r="V5" s="3"/>
      <c r="W5" s="3"/>
    </row>
    <row r="6" spans="1:23" x14ac:dyDescent="0.25">
      <c r="A6" s="17"/>
      <c r="B6" s="43">
        <v>2</v>
      </c>
      <c r="C6" s="54"/>
      <c r="D6" s="7" t="s">
        <v>29</v>
      </c>
      <c r="E6" s="20">
        <v>761</v>
      </c>
      <c r="F6" s="9">
        <v>181</v>
      </c>
      <c r="H6" s="4"/>
      <c r="I6" s="2"/>
      <c r="L6" s="2">
        <f t="shared" ref="L6:M17" si="1">E6</f>
        <v>761</v>
      </c>
      <c r="M6" s="2">
        <f t="shared" si="1"/>
        <v>181</v>
      </c>
      <c r="N6" s="4">
        <f t="shared" ref="N6:N16" si="2">O5</f>
        <v>1298</v>
      </c>
      <c r="O6" s="4">
        <f t="shared" si="0"/>
        <v>2059</v>
      </c>
      <c r="P6" s="4">
        <f t="shared" ref="P6:P16" si="3">Q5</f>
        <v>353</v>
      </c>
      <c r="Q6" s="4">
        <f t="shared" ref="Q6:Q16" si="4">P6+M6</f>
        <v>534</v>
      </c>
      <c r="R6" s="18" t="str">
        <f t="shared" ref="R6:R17" si="5">D6</f>
        <v>PwC Steuer und Recht</v>
      </c>
      <c r="U6" s="3"/>
      <c r="V6" s="3"/>
      <c r="W6" s="3"/>
    </row>
    <row r="7" spans="1:23" x14ac:dyDescent="0.25">
      <c r="A7" s="17"/>
      <c r="B7" s="43">
        <v>3</v>
      </c>
      <c r="C7" s="55"/>
      <c r="D7" s="7" t="s">
        <v>30</v>
      </c>
      <c r="E7" s="20">
        <v>317</v>
      </c>
      <c r="F7" s="9">
        <v>85</v>
      </c>
      <c r="H7" s="4"/>
      <c r="I7" s="2"/>
      <c r="L7" s="2">
        <f t="shared" si="1"/>
        <v>317</v>
      </c>
      <c r="M7" s="2">
        <f t="shared" si="1"/>
        <v>85</v>
      </c>
      <c r="N7" s="4">
        <f t="shared" si="2"/>
        <v>2059</v>
      </c>
      <c r="O7" s="4">
        <f t="shared" si="0"/>
        <v>2376</v>
      </c>
      <c r="P7" s="4">
        <f t="shared" si="3"/>
        <v>534</v>
      </c>
      <c r="Q7" s="4">
        <f t="shared" si="4"/>
        <v>619</v>
      </c>
      <c r="R7" s="18" t="str">
        <f t="shared" si="5"/>
        <v>PwC Wirtschaftsberatung</v>
      </c>
      <c r="U7" s="3"/>
      <c r="V7" s="3"/>
      <c r="W7" s="3"/>
    </row>
    <row r="8" spans="1:23" x14ac:dyDescent="0.25">
      <c r="A8" s="17"/>
      <c r="B8" s="43">
        <v>4</v>
      </c>
      <c r="C8" s="45"/>
      <c r="D8" s="7" t="s">
        <v>31</v>
      </c>
      <c r="E8" s="20">
        <v>443</v>
      </c>
      <c r="F8" s="9">
        <v>0</v>
      </c>
      <c r="H8" s="4"/>
      <c r="I8" s="2"/>
      <c r="L8" s="2">
        <f t="shared" si="1"/>
        <v>443</v>
      </c>
      <c r="M8" s="2">
        <f t="shared" si="1"/>
        <v>0</v>
      </c>
      <c r="N8" s="4">
        <f t="shared" si="2"/>
        <v>2376</v>
      </c>
      <c r="O8" s="4">
        <f t="shared" si="0"/>
        <v>2819</v>
      </c>
      <c r="P8" s="4">
        <f t="shared" si="3"/>
        <v>619</v>
      </c>
      <c r="Q8" s="4">
        <f t="shared" si="4"/>
        <v>619</v>
      </c>
      <c r="R8" s="18" t="str">
        <f t="shared" si="5"/>
        <v>PwC Interne Dienste</v>
      </c>
      <c r="U8" s="3"/>
      <c r="V8" s="3"/>
      <c r="W8" s="3"/>
    </row>
    <row r="9" spans="1:23" ht="5.0999999999999996" customHeight="1" x14ac:dyDescent="0.25">
      <c r="A9" s="17"/>
      <c r="B9" s="47">
        <v>5</v>
      </c>
      <c r="C9" s="15"/>
      <c r="D9" s="23" t="s">
        <v>9</v>
      </c>
      <c r="E9" s="24">
        <v>0</v>
      </c>
      <c r="F9" s="25">
        <v>0</v>
      </c>
      <c r="H9" s="4"/>
      <c r="I9" s="2"/>
      <c r="L9" s="2">
        <f t="shared" si="1"/>
        <v>0</v>
      </c>
      <c r="M9" s="2">
        <f t="shared" si="1"/>
        <v>0</v>
      </c>
      <c r="N9" s="4">
        <f t="shared" si="2"/>
        <v>2819</v>
      </c>
      <c r="O9" s="4">
        <f t="shared" si="0"/>
        <v>2819</v>
      </c>
      <c r="P9" s="4">
        <f t="shared" si="3"/>
        <v>619</v>
      </c>
      <c r="Q9" s="4">
        <f t="shared" si="4"/>
        <v>619</v>
      </c>
      <c r="R9" s="18" t="str">
        <f t="shared" si="5"/>
        <v>Cluster A 5</v>
      </c>
      <c r="U9" s="3"/>
      <c r="V9" s="3"/>
      <c r="W9" s="3"/>
    </row>
    <row r="10" spans="1:23" ht="5.0999999999999996" customHeight="1" x14ac:dyDescent="0.25">
      <c r="A10" s="17"/>
      <c r="B10" s="48">
        <v>6</v>
      </c>
      <c r="C10" s="15"/>
      <c r="D10" s="26" t="s">
        <v>10</v>
      </c>
      <c r="E10" s="27">
        <v>0</v>
      </c>
      <c r="F10" s="28">
        <v>0</v>
      </c>
      <c r="H10" s="4"/>
      <c r="I10" s="2"/>
      <c r="L10" s="2">
        <f t="shared" si="1"/>
        <v>0</v>
      </c>
      <c r="M10" s="2">
        <f t="shared" si="1"/>
        <v>0</v>
      </c>
      <c r="N10" s="4">
        <f t="shared" si="2"/>
        <v>2819</v>
      </c>
      <c r="O10" s="4">
        <f t="shared" si="0"/>
        <v>2819</v>
      </c>
      <c r="P10" s="4">
        <f t="shared" si="3"/>
        <v>619</v>
      </c>
      <c r="Q10" s="4">
        <f t="shared" si="4"/>
        <v>619</v>
      </c>
      <c r="R10" s="18" t="str">
        <f t="shared" si="5"/>
        <v>Cluster A 6</v>
      </c>
      <c r="U10" s="3"/>
      <c r="V10" s="3"/>
      <c r="W10" s="3"/>
    </row>
    <row r="11" spans="1:23" ht="5.0999999999999996" customHeight="1" x14ac:dyDescent="0.25">
      <c r="A11" s="17"/>
      <c r="B11" s="48">
        <v>7</v>
      </c>
      <c r="C11" s="15"/>
      <c r="D11" s="26" t="s">
        <v>11</v>
      </c>
      <c r="E11" s="27">
        <v>0</v>
      </c>
      <c r="F11" s="28">
        <v>0</v>
      </c>
      <c r="H11" s="4"/>
      <c r="I11" s="2"/>
      <c r="L11" s="2">
        <f t="shared" si="1"/>
        <v>0</v>
      </c>
      <c r="M11" s="2">
        <f t="shared" si="1"/>
        <v>0</v>
      </c>
      <c r="N11" s="4">
        <f t="shared" si="2"/>
        <v>2819</v>
      </c>
      <c r="O11" s="4">
        <f t="shared" si="0"/>
        <v>2819</v>
      </c>
      <c r="P11" s="4">
        <f t="shared" si="3"/>
        <v>619</v>
      </c>
      <c r="Q11" s="4">
        <f t="shared" si="4"/>
        <v>619</v>
      </c>
      <c r="R11" s="18" t="str">
        <f t="shared" si="5"/>
        <v>Cluster A 7</v>
      </c>
      <c r="U11" s="3"/>
      <c r="V11" s="3"/>
    </row>
    <row r="12" spans="1:23" ht="5.0999999999999996" customHeight="1" x14ac:dyDescent="0.25">
      <c r="A12" s="17"/>
      <c r="B12" s="48">
        <v>8</v>
      </c>
      <c r="C12" s="15"/>
      <c r="D12" s="26" t="s">
        <v>12</v>
      </c>
      <c r="E12" s="27">
        <v>0</v>
      </c>
      <c r="F12" s="28">
        <v>0</v>
      </c>
      <c r="H12" s="4"/>
      <c r="I12" s="2"/>
      <c r="L12" s="2">
        <f t="shared" si="1"/>
        <v>0</v>
      </c>
      <c r="M12" s="2">
        <f t="shared" si="1"/>
        <v>0</v>
      </c>
      <c r="N12" s="4">
        <f t="shared" si="2"/>
        <v>2819</v>
      </c>
      <c r="O12" s="4">
        <f t="shared" si="0"/>
        <v>2819</v>
      </c>
      <c r="P12" s="4">
        <f t="shared" si="3"/>
        <v>619</v>
      </c>
      <c r="Q12" s="4">
        <f t="shared" si="4"/>
        <v>619</v>
      </c>
      <c r="R12" s="18" t="str">
        <f t="shared" si="5"/>
        <v>Cluster A 8</v>
      </c>
      <c r="U12" s="3"/>
      <c r="V12" s="3"/>
    </row>
    <row r="13" spans="1:23" ht="5.0999999999999996" customHeight="1" x14ac:dyDescent="0.25">
      <c r="A13" s="17"/>
      <c r="B13" s="48">
        <v>9</v>
      </c>
      <c r="C13" s="15"/>
      <c r="D13" s="26" t="s">
        <v>13</v>
      </c>
      <c r="E13" s="27">
        <v>0</v>
      </c>
      <c r="F13" s="28">
        <v>0</v>
      </c>
      <c r="H13" s="4"/>
      <c r="I13" s="2"/>
      <c r="L13" s="2">
        <f t="shared" si="1"/>
        <v>0</v>
      </c>
      <c r="M13" s="2">
        <f t="shared" si="1"/>
        <v>0</v>
      </c>
      <c r="N13" s="4">
        <f t="shared" si="2"/>
        <v>2819</v>
      </c>
      <c r="O13" s="4">
        <f t="shared" si="0"/>
        <v>2819</v>
      </c>
      <c r="P13" s="4">
        <f t="shared" si="3"/>
        <v>619</v>
      </c>
      <c r="Q13" s="4">
        <f t="shared" si="4"/>
        <v>619</v>
      </c>
      <c r="R13" s="18" t="str">
        <f t="shared" si="5"/>
        <v>Cluster A 9</v>
      </c>
      <c r="U13" s="3"/>
      <c r="V13" s="3"/>
    </row>
    <row r="14" spans="1:23" ht="5.0999999999999996" customHeight="1" x14ac:dyDescent="0.25">
      <c r="A14" s="17"/>
      <c r="B14" s="48">
        <v>10</v>
      </c>
      <c r="C14" s="15"/>
      <c r="D14" s="26" t="s">
        <v>14</v>
      </c>
      <c r="E14" s="27">
        <v>0</v>
      </c>
      <c r="F14" s="28">
        <v>0</v>
      </c>
      <c r="H14" s="4"/>
      <c r="I14" s="2"/>
      <c r="L14" s="2">
        <f t="shared" si="1"/>
        <v>0</v>
      </c>
      <c r="M14" s="2">
        <f t="shared" si="1"/>
        <v>0</v>
      </c>
      <c r="N14" s="4">
        <f t="shared" si="2"/>
        <v>2819</v>
      </c>
      <c r="O14" s="4">
        <f t="shared" si="0"/>
        <v>2819</v>
      </c>
      <c r="P14" s="4">
        <f t="shared" si="3"/>
        <v>619</v>
      </c>
      <c r="Q14" s="4">
        <f t="shared" si="4"/>
        <v>619</v>
      </c>
      <c r="R14" s="18" t="str">
        <f t="shared" si="5"/>
        <v>Cluster A 10</v>
      </c>
      <c r="U14" s="3"/>
      <c r="V14" s="3"/>
    </row>
    <row r="15" spans="1:23" ht="5.0999999999999996" customHeight="1" x14ac:dyDescent="0.25">
      <c r="A15" s="17"/>
      <c r="B15" s="48">
        <v>11</v>
      </c>
      <c r="C15" s="15"/>
      <c r="D15" s="26" t="s">
        <v>15</v>
      </c>
      <c r="E15" s="27">
        <v>0</v>
      </c>
      <c r="F15" s="28">
        <v>0</v>
      </c>
      <c r="H15" s="4"/>
      <c r="I15" s="2"/>
      <c r="L15" s="2">
        <f t="shared" si="1"/>
        <v>0</v>
      </c>
      <c r="M15" s="2">
        <f t="shared" si="1"/>
        <v>0</v>
      </c>
      <c r="N15" s="4">
        <f t="shared" si="2"/>
        <v>2819</v>
      </c>
      <c r="O15" s="4">
        <f t="shared" si="0"/>
        <v>2819</v>
      </c>
      <c r="P15" s="4">
        <f t="shared" si="3"/>
        <v>619</v>
      </c>
      <c r="Q15" s="4">
        <f t="shared" si="4"/>
        <v>619</v>
      </c>
      <c r="R15" s="18" t="str">
        <f t="shared" si="5"/>
        <v>Cluster A 11</v>
      </c>
      <c r="U15" s="3"/>
      <c r="V15" s="3"/>
    </row>
    <row r="16" spans="1:23" ht="5.0999999999999996" customHeight="1" x14ac:dyDescent="0.25">
      <c r="A16" s="17"/>
      <c r="B16" s="49">
        <v>12</v>
      </c>
      <c r="C16" s="15"/>
      <c r="D16" s="29" t="s">
        <v>16</v>
      </c>
      <c r="E16" s="30">
        <f t="shared" ref="E16" si="6">E14-E15</f>
        <v>0</v>
      </c>
      <c r="F16" s="31">
        <f>F14-F15</f>
        <v>0</v>
      </c>
      <c r="H16" s="4"/>
      <c r="I16" s="2"/>
      <c r="L16" s="2">
        <f t="shared" si="1"/>
        <v>0</v>
      </c>
      <c r="M16" s="2">
        <f t="shared" si="1"/>
        <v>0</v>
      </c>
      <c r="N16" s="4">
        <f t="shared" si="2"/>
        <v>2819</v>
      </c>
      <c r="O16" s="4">
        <f t="shared" si="0"/>
        <v>2819</v>
      </c>
      <c r="P16" s="4">
        <f t="shared" si="3"/>
        <v>619</v>
      </c>
      <c r="Q16" s="4">
        <f t="shared" si="4"/>
        <v>619</v>
      </c>
      <c r="R16" s="18" t="str">
        <f t="shared" si="5"/>
        <v>Cluster A 12</v>
      </c>
      <c r="U16" s="3"/>
      <c r="V16" s="3"/>
    </row>
    <row r="17" spans="1:23" x14ac:dyDescent="0.25">
      <c r="A17" s="17"/>
      <c r="B17" s="39"/>
      <c r="C17" s="46"/>
      <c r="D17" s="7" t="s">
        <v>38</v>
      </c>
      <c r="E17" s="21">
        <f>SUM(E5:E16)</f>
        <v>2819</v>
      </c>
      <c r="F17" s="11">
        <f>SUM(F5:F16)</f>
        <v>619</v>
      </c>
      <c r="L17" s="2">
        <f t="shared" si="1"/>
        <v>2819</v>
      </c>
      <c r="R17" s="18" t="str">
        <f t="shared" si="5"/>
        <v>PwC Summe</v>
      </c>
    </row>
    <row r="18" spans="1:23" x14ac:dyDescent="0.25">
      <c r="A18" s="17"/>
      <c r="B18" s="17"/>
      <c r="C18" s="17"/>
      <c r="E18" s="22"/>
    </row>
    <row r="19" spans="1:23" x14ac:dyDescent="0.25">
      <c r="A19" s="17"/>
      <c r="B19" s="17"/>
      <c r="C19" s="17"/>
      <c r="E19" s="34" t="str">
        <f>E2</f>
        <v>x</v>
      </c>
      <c r="F19" s="34" t="str">
        <f>F2</f>
        <v>y</v>
      </c>
    </row>
    <row r="20" spans="1:23" x14ac:dyDescent="0.25">
      <c r="A20" s="17"/>
      <c r="B20" s="17"/>
      <c r="C20" s="17"/>
      <c r="E20" s="12">
        <v>2006</v>
      </c>
      <c r="F20" s="10">
        <v>2006</v>
      </c>
      <c r="L20" s="18">
        <f>E20</f>
        <v>2006</v>
      </c>
      <c r="M20" s="18">
        <f>F20</f>
        <v>2006</v>
      </c>
    </row>
    <row r="21" spans="1:23" x14ac:dyDescent="0.25">
      <c r="A21" s="17"/>
      <c r="B21" s="37" t="s">
        <v>0</v>
      </c>
      <c r="C21" s="38"/>
      <c r="D21" s="32" t="s">
        <v>27</v>
      </c>
      <c r="E21" s="56" t="str">
        <f>E4</f>
        <v>Anzahl Mitarbeiter</v>
      </c>
      <c r="F21" s="13" t="str">
        <f>F4</f>
        <v>Umsatz [Mio CHF]</v>
      </c>
      <c r="G21" s="5"/>
      <c r="I21" s="1"/>
      <c r="L21" s="1" t="s">
        <v>1</v>
      </c>
      <c r="M21" s="1" t="s">
        <v>2</v>
      </c>
      <c r="N21" s="1" t="s">
        <v>3</v>
      </c>
      <c r="O21" s="1" t="s">
        <v>5</v>
      </c>
      <c r="P21" s="1" t="s">
        <v>4</v>
      </c>
      <c r="Q21" s="1" t="s">
        <v>6</v>
      </c>
    </row>
    <row r="22" spans="1:23" x14ac:dyDescent="0.25">
      <c r="A22" s="17"/>
      <c r="B22" s="39">
        <v>1</v>
      </c>
      <c r="C22" s="40"/>
      <c r="D22" s="7" t="s">
        <v>32</v>
      </c>
      <c r="E22" s="20">
        <v>871</v>
      </c>
      <c r="F22" s="9">
        <v>292.3</v>
      </c>
      <c r="I22" s="4"/>
      <c r="L22" s="4">
        <f>E22</f>
        <v>871</v>
      </c>
      <c r="M22" s="4">
        <f>F22</f>
        <v>292.3</v>
      </c>
      <c r="N22" s="18">
        <v>0</v>
      </c>
      <c r="O22" s="4">
        <f t="shared" ref="O22:O33" si="7">N22+L22</f>
        <v>871</v>
      </c>
      <c r="P22" s="18">
        <v>0</v>
      </c>
      <c r="Q22" s="4">
        <f>P22+M22</f>
        <v>292.3</v>
      </c>
      <c r="R22" s="18" t="str">
        <f>D22</f>
        <v>E&amp;Y Audit and Assurance</v>
      </c>
      <c r="W22" s="3"/>
    </row>
    <row r="23" spans="1:23" x14ac:dyDescent="0.25">
      <c r="A23" s="17"/>
      <c r="B23" s="39">
        <v>2</v>
      </c>
      <c r="C23" s="41"/>
      <c r="D23" s="7" t="s">
        <v>33</v>
      </c>
      <c r="E23" s="20">
        <v>346</v>
      </c>
      <c r="F23" s="9">
        <v>123.2</v>
      </c>
      <c r="I23" s="4"/>
      <c r="L23" s="4">
        <f t="shared" ref="L23:M33" si="8">E23</f>
        <v>346</v>
      </c>
      <c r="M23" s="4">
        <f t="shared" si="8"/>
        <v>123.2</v>
      </c>
      <c r="N23" s="4">
        <f t="shared" ref="N23:N33" si="9">O22</f>
        <v>871</v>
      </c>
      <c r="O23" s="4">
        <f t="shared" si="7"/>
        <v>1217</v>
      </c>
      <c r="P23" s="4">
        <f t="shared" ref="P23:P33" si="10">Q22</f>
        <v>292.3</v>
      </c>
      <c r="Q23" s="4">
        <f t="shared" ref="Q23:Q33" si="11">P23+M23</f>
        <v>415.5</v>
      </c>
      <c r="R23" s="18" t="str">
        <f t="shared" ref="R23:R33" si="12">D23</f>
        <v>E&amp;Y Tax and Legal</v>
      </c>
      <c r="V23" s="3"/>
      <c r="W23" s="3"/>
    </row>
    <row r="24" spans="1:23" x14ac:dyDescent="0.25">
      <c r="A24" s="17"/>
      <c r="B24" s="39">
        <v>3</v>
      </c>
      <c r="C24" s="42"/>
      <c r="D24" s="7" t="s">
        <v>34</v>
      </c>
      <c r="E24" s="20">
        <v>99</v>
      </c>
      <c r="F24" s="9">
        <v>47.9</v>
      </c>
      <c r="I24" s="4"/>
      <c r="L24" s="4">
        <f t="shared" si="8"/>
        <v>99</v>
      </c>
      <c r="M24" s="4">
        <f t="shared" si="8"/>
        <v>47.9</v>
      </c>
      <c r="N24" s="4">
        <f t="shared" si="9"/>
        <v>1217</v>
      </c>
      <c r="O24" s="4">
        <f t="shared" si="7"/>
        <v>1316</v>
      </c>
      <c r="P24" s="4">
        <f t="shared" si="10"/>
        <v>415.5</v>
      </c>
      <c r="Q24" s="4">
        <f t="shared" si="11"/>
        <v>463.4</v>
      </c>
      <c r="R24" s="18" t="str">
        <f t="shared" si="12"/>
        <v>E&amp;Y Advisory Services</v>
      </c>
      <c r="V24" s="3"/>
      <c r="W24" s="3"/>
    </row>
    <row r="25" spans="1:23" x14ac:dyDescent="0.25">
      <c r="A25" s="17"/>
      <c r="B25" s="43">
        <v>4</v>
      </c>
      <c r="C25" s="44"/>
      <c r="D25" s="7" t="s">
        <v>35</v>
      </c>
      <c r="E25" s="20">
        <v>76</v>
      </c>
      <c r="F25" s="9">
        <v>18.7</v>
      </c>
      <c r="I25" s="4"/>
      <c r="L25" s="4">
        <f t="shared" si="8"/>
        <v>76</v>
      </c>
      <c r="M25" s="4">
        <f t="shared" si="8"/>
        <v>18.7</v>
      </c>
      <c r="N25" s="4">
        <f t="shared" si="9"/>
        <v>1316</v>
      </c>
      <c r="O25" s="4">
        <f t="shared" si="7"/>
        <v>1392</v>
      </c>
      <c r="P25" s="4">
        <f t="shared" si="10"/>
        <v>463.4</v>
      </c>
      <c r="Q25" s="4">
        <f t="shared" si="11"/>
        <v>482.09999999999997</v>
      </c>
      <c r="R25" s="18" t="str">
        <f t="shared" si="12"/>
        <v>E&amp;Y Accounting Services</v>
      </c>
      <c r="V25" s="3"/>
      <c r="W25" s="3"/>
    </row>
    <row r="26" spans="1:23" x14ac:dyDescent="0.25">
      <c r="A26" s="17"/>
      <c r="B26" s="43">
        <v>5</v>
      </c>
      <c r="C26" s="45"/>
      <c r="D26" s="7" t="s">
        <v>36</v>
      </c>
      <c r="E26" s="20">
        <v>298</v>
      </c>
      <c r="F26" s="9">
        <v>0</v>
      </c>
      <c r="I26" s="4"/>
      <c r="L26" s="4">
        <f t="shared" si="8"/>
        <v>298</v>
      </c>
      <c r="M26" s="4">
        <f t="shared" si="8"/>
        <v>0</v>
      </c>
      <c r="N26" s="4">
        <f t="shared" si="9"/>
        <v>1392</v>
      </c>
      <c r="O26" s="4">
        <f t="shared" si="7"/>
        <v>1690</v>
      </c>
      <c r="P26" s="4">
        <f t="shared" si="10"/>
        <v>482.09999999999997</v>
      </c>
      <c r="Q26" s="4">
        <f t="shared" si="11"/>
        <v>482.09999999999997</v>
      </c>
      <c r="R26" s="18" t="str">
        <f t="shared" si="12"/>
        <v>E&amp;Y Corporate Services</v>
      </c>
      <c r="V26" s="3"/>
      <c r="W26" s="3"/>
    </row>
    <row r="27" spans="1:23" ht="5.0999999999999996" customHeight="1" x14ac:dyDescent="0.25">
      <c r="A27" s="17"/>
      <c r="B27" s="47">
        <v>6</v>
      </c>
      <c r="C27" s="14"/>
      <c r="D27" s="23" t="s">
        <v>17</v>
      </c>
      <c r="E27" s="24">
        <v>0</v>
      </c>
      <c r="F27" s="25">
        <v>0</v>
      </c>
      <c r="I27" s="4"/>
      <c r="L27" s="4">
        <f t="shared" si="8"/>
        <v>0</v>
      </c>
      <c r="M27" s="4">
        <f t="shared" si="8"/>
        <v>0</v>
      </c>
      <c r="N27" s="4">
        <f t="shared" si="9"/>
        <v>1690</v>
      </c>
      <c r="O27" s="4">
        <f t="shared" si="7"/>
        <v>1690</v>
      </c>
      <c r="P27" s="4">
        <f t="shared" si="10"/>
        <v>482.09999999999997</v>
      </c>
      <c r="Q27" s="4">
        <f t="shared" si="11"/>
        <v>482.09999999999997</v>
      </c>
      <c r="R27" s="18" t="str">
        <f t="shared" si="12"/>
        <v>Cluster B 6</v>
      </c>
      <c r="V27" s="3"/>
      <c r="W27" s="3"/>
    </row>
    <row r="28" spans="1:23" ht="5.0999999999999996" customHeight="1" x14ac:dyDescent="0.25">
      <c r="B28" s="48">
        <v>7</v>
      </c>
      <c r="C28" s="16"/>
      <c r="D28" s="26" t="s">
        <v>18</v>
      </c>
      <c r="E28" s="27">
        <v>0</v>
      </c>
      <c r="F28" s="28">
        <v>0</v>
      </c>
      <c r="I28" s="4"/>
      <c r="L28" s="4">
        <f t="shared" si="8"/>
        <v>0</v>
      </c>
      <c r="M28" s="4">
        <f t="shared" si="8"/>
        <v>0</v>
      </c>
      <c r="N28" s="4">
        <f t="shared" si="9"/>
        <v>1690</v>
      </c>
      <c r="O28" s="4">
        <f t="shared" si="7"/>
        <v>1690</v>
      </c>
      <c r="P28" s="4">
        <f t="shared" si="10"/>
        <v>482.09999999999997</v>
      </c>
      <c r="Q28" s="4">
        <f t="shared" si="11"/>
        <v>482.09999999999997</v>
      </c>
      <c r="R28" s="18" t="str">
        <f t="shared" si="12"/>
        <v>Cluster B 7</v>
      </c>
    </row>
    <row r="29" spans="1:23" ht="5.0999999999999996" customHeight="1" x14ac:dyDescent="0.25">
      <c r="B29" s="48">
        <v>8</v>
      </c>
      <c r="C29" s="16"/>
      <c r="D29" s="26" t="s">
        <v>19</v>
      </c>
      <c r="E29" s="27">
        <v>0</v>
      </c>
      <c r="F29" s="28">
        <v>0</v>
      </c>
      <c r="I29" s="4"/>
      <c r="L29" s="4">
        <f t="shared" si="8"/>
        <v>0</v>
      </c>
      <c r="M29" s="4">
        <f t="shared" si="8"/>
        <v>0</v>
      </c>
      <c r="N29" s="4">
        <f t="shared" si="9"/>
        <v>1690</v>
      </c>
      <c r="O29" s="4">
        <f t="shared" si="7"/>
        <v>1690</v>
      </c>
      <c r="P29" s="4">
        <f t="shared" si="10"/>
        <v>482.09999999999997</v>
      </c>
      <c r="Q29" s="4">
        <f t="shared" si="11"/>
        <v>482.09999999999997</v>
      </c>
      <c r="R29" s="18" t="str">
        <f t="shared" si="12"/>
        <v>Cluster B 8</v>
      </c>
    </row>
    <row r="30" spans="1:23" ht="5.0999999999999996" customHeight="1" x14ac:dyDescent="0.25">
      <c r="B30" s="48">
        <v>9</v>
      </c>
      <c r="C30" s="16"/>
      <c r="D30" s="26" t="s">
        <v>20</v>
      </c>
      <c r="E30" s="27">
        <v>0</v>
      </c>
      <c r="F30" s="28">
        <v>0</v>
      </c>
      <c r="I30" s="4"/>
      <c r="L30" s="4">
        <f t="shared" si="8"/>
        <v>0</v>
      </c>
      <c r="M30" s="4">
        <f t="shared" si="8"/>
        <v>0</v>
      </c>
      <c r="N30" s="4">
        <f t="shared" si="9"/>
        <v>1690</v>
      </c>
      <c r="O30" s="4">
        <f t="shared" si="7"/>
        <v>1690</v>
      </c>
      <c r="P30" s="4">
        <f t="shared" si="10"/>
        <v>482.09999999999997</v>
      </c>
      <c r="Q30" s="4">
        <f t="shared" si="11"/>
        <v>482.09999999999997</v>
      </c>
      <c r="R30" s="18" t="str">
        <f t="shared" si="12"/>
        <v>Cluster B 9</v>
      </c>
    </row>
    <row r="31" spans="1:23" ht="5.0999999999999996" customHeight="1" x14ac:dyDescent="0.25">
      <c r="B31" s="48">
        <v>10</v>
      </c>
      <c r="C31" s="16"/>
      <c r="D31" s="26" t="s">
        <v>21</v>
      </c>
      <c r="E31" s="27">
        <v>0</v>
      </c>
      <c r="F31" s="28">
        <v>0</v>
      </c>
      <c r="I31" s="4"/>
      <c r="L31" s="4">
        <f t="shared" si="8"/>
        <v>0</v>
      </c>
      <c r="M31" s="4">
        <f t="shared" si="8"/>
        <v>0</v>
      </c>
      <c r="N31" s="4">
        <f t="shared" si="9"/>
        <v>1690</v>
      </c>
      <c r="O31" s="4">
        <f t="shared" si="7"/>
        <v>1690</v>
      </c>
      <c r="P31" s="4">
        <f t="shared" si="10"/>
        <v>482.09999999999997</v>
      </c>
      <c r="Q31" s="4">
        <f t="shared" si="11"/>
        <v>482.09999999999997</v>
      </c>
      <c r="R31" s="18" t="str">
        <f t="shared" si="12"/>
        <v>Cluster B 10</v>
      </c>
    </row>
    <row r="32" spans="1:23" ht="5.0999999999999996" customHeight="1" x14ac:dyDescent="0.25">
      <c r="B32" s="48">
        <v>11</v>
      </c>
      <c r="C32" s="16"/>
      <c r="D32" s="26" t="s">
        <v>22</v>
      </c>
      <c r="E32" s="27">
        <v>0</v>
      </c>
      <c r="F32" s="28">
        <v>0</v>
      </c>
      <c r="I32" s="4"/>
      <c r="L32" s="4">
        <f t="shared" si="8"/>
        <v>0</v>
      </c>
      <c r="M32" s="4">
        <f t="shared" si="8"/>
        <v>0</v>
      </c>
      <c r="N32" s="4">
        <f t="shared" si="9"/>
        <v>1690</v>
      </c>
      <c r="O32" s="4">
        <f t="shared" si="7"/>
        <v>1690</v>
      </c>
      <c r="P32" s="4">
        <f t="shared" si="10"/>
        <v>482.09999999999997</v>
      </c>
      <c r="Q32" s="4">
        <f t="shared" si="11"/>
        <v>482.09999999999997</v>
      </c>
      <c r="R32" s="18" t="str">
        <f t="shared" si="12"/>
        <v>Cluster B 11</v>
      </c>
    </row>
    <row r="33" spans="2:18" ht="5.0999999999999996" customHeight="1" x14ac:dyDescent="0.25">
      <c r="B33" s="49">
        <v>12</v>
      </c>
      <c r="C33" s="50"/>
      <c r="D33" s="29" t="s">
        <v>23</v>
      </c>
      <c r="E33" s="30">
        <v>0</v>
      </c>
      <c r="F33" s="31">
        <v>0</v>
      </c>
      <c r="I33" s="4"/>
      <c r="L33" s="4">
        <f t="shared" si="8"/>
        <v>0</v>
      </c>
      <c r="M33" s="4">
        <f t="shared" si="8"/>
        <v>0</v>
      </c>
      <c r="N33" s="4">
        <f t="shared" si="9"/>
        <v>1690</v>
      </c>
      <c r="O33" s="4">
        <f t="shared" si="7"/>
        <v>1690</v>
      </c>
      <c r="P33" s="4">
        <f t="shared" si="10"/>
        <v>482.09999999999997</v>
      </c>
      <c r="Q33" s="4">
        <f t="shared" si="11"/>
        <v>482.09999999999997</v>
      </c>
      <c r="R33" s="18" t="str">
        <f t="shared" si="12"/>
        <v>Cluster B 12</v>
      </c>
    </row>
    <row r="34" spans="2:18" x14ac:dyDescent="0.25">
      <c r="B34" s="39"/>
      <c r="C34" s="46"/>
      <c r="D34" s="7" t="s">
        <v>37</v>
      </c>
      <c r="E34" s="21">
        <f>SUM(E22:E33)</f>
        <v>1690</v>
      </c>
      <c r="F34" s="11">
        <f>SUM(F22:F33)</f>
        <v>482.09999999999997</v>
      </c>
    </row>
    <row r="36" spans="2:18" x14ac:dyDescent="0.25">
      <c r="B36" t="s">
        <v>39</v>
      </c>
    </row>
    <row r="38" spans="2:18" x14ac:dyDescent="0.25">
      <c r="B38" t="s">
        <v>40</v>
      </c>
    </row>
    <row r="39" spans="2:18" x14ac:dyDescent="0.25">
      <c r="B39" t="s">
        <v>41</v>
      </c>
    </row>
    <row r="40" spans="2:18" x14ac:dyDescent="0.25">
      <c r="B40" t="s">
        <v>42</v>
      </c>
    </row>
    <row r="41" spans="2:18" x14ac:dyDescent="0.25">
      <c r="B41" t="s">
        <v>43</v>
      </c>
    </row>
    <row r="43" spans="2:18" x14ac:dyDescent="0.25">
      <c r="B43" t="s">
        <v>44</v>
      </c>
    </row>
    <row r="44" spans="2:18" x14ac:dyDescent="0.25">
      <c r="B44" s="35" t="s">
        <v>45</v>
      </c>
    </row>
    <row r="45" spans="2:18" x14ac:dyDescent="0.25">
      <c r="B45" s="35" t="s">
        <v>46</v>
      </c>
    </row>
    <row r="46" spans="2:18" x14ac:dyDescent="0.25">
      <c r="B46" s="35" t="s">
        <v>47</v>
      </c>
    </row>
    <row r="48" spans="2:18" x14ac:dyDescent="0.25">
      <c r="B48" t="s">
        <v>48</v>
      </c>
    </row>
    <row r="49" spans="2:5" x14ac:dyDescent="0.25">
      <c r="B49" t="s">
        <v>49</v>
      </c>
    </row>
    <row r="50" spans="2:5" x14ac:dyDescent="0.25">
      <c r="B50" s="36" t="s">
        <v>50</v>
      </c>
      <c r="E50" s="57">
        <v>40839</v>
      </c>
    </row>
  </sheetData>
  <hyperlinks>
    <hyperlink ref="B44" r:id="rId1"/>
    <hyperlink ref="B45" r:id="rId2"/>
    <hyperlink ref="B46" r:id="rId3"/>
  </hyperlinks>
  <printOptions headings="1"/>
  <pageMargins left="0.70866141732283472" right="0.70866141732283472" top="0.78740157480314965" bottom="0.78740157480314965" header="0.31496062992125984" footer="0.31496062992125984"/>
  <pageSetup paperSize="9" scale="50" orientation="landscape" horizontalDpi="0" verticalDpi="0" r:id="rId4"/>
  <headerFooter>
    <oddFooter>&amp;L&amp;F&amp;R&amp;A</oddFooter>
  </headerFooter>
  <customProperties>
    <customPr name="DVSECTIONID" r:id="rId5"/>
  </customPropertie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V4"/>
  <sheetViews>
    <sheetView workbookViewId="0">
      <selection activeCell="U4" sqref="U4"/>
    </sheetView>
  </sheetViews>
  <sheetFormatPr baseColWidth="10" defaultColWidth="11.42578125" defaultRowHeight="15" x14ac:dyDescent="0.25"/>
  <sheetData>
    <row r="1" spans="1:256" x14ac:dyDescent="0.25">
      <c r="A1">
        <f>IF('zwei Datensätze'!1:1,"AAAAAFvf9wA=",0)</f>
        <v>0</v>
      </c>
      <c r="B1" t="e">
        <f>AND('zwei Datensätze'!B1,"AAAAAFvf9wE=")</f>
        <v>#VALUE!</v>
      </c>
      <c r="C1" t="e">
        <f>AND('zwei Datensätze'!C1,"AAAAAFvf9wI=")</f>
        <v>#VALUE!</v>
      </c>
      <c r="D1" t="e">
        <f>AND('zwei Datensätze'!D1,"AAAAAFvf9wM=")</f>
        <v>#VALUE!</v>
      </c>
      <c r="E1" t="e">
        <f>AND('zwei Datensätze'!E1,"AAAAAFvf9wQ=")</f>
        <v>#VALUE!</v>
      </c>
      <c r="F1" t="e">
        <f>AND('zwei Datensätze'!F1,"AAAAAFvf9wU=")</f>
        <v>#VALUE!</v>
      </c>
      <c r="G1" t="e">
        <f>AND('zwei Datensätze'!G1,"AAAAAFvf9wY=")</f>
        <v>#VALUE!</v>
      </c>
      <c r="H1" t="e">
        <f>AND('zwei Datensätze'!H1,"AAAAAFvf9wc=")</f>
        <v>#VALUE!</v>
      </c>
      <c r="I1" t="e">
        <f>AND('zwei Datensätze'!I1,"AAAAAFvf9wg=")</f>
        <v>#VALUE!</v>
      </c>
      <c r="J1" t="e">
        <f>AND('zwei Datensätze'!J1,"AAAAAFvf9wk=")</f>
        <v>#VALUE!</v>
      </c>
      <c r="K1" t="e">
        <f>AND('zwei Datensätze'!K1,"AAAAAFvf9wo=")</f>
        <v>#VALUE!</v>
      </c>
      <c r="L1" t="e">
        <f>AND('zwei Datensätze'!L1,"AAAAAFvf9ws=")</f>
        <v>#VALUE!</v>
      </c>
      <c r="M1" t="e">
        <f>AND('zwei Datensätze'!M1,"AAAAAFvf9ww=")</f>
        <v>#VALUE!</v>
      </c>
      <c r="N1" t="e">
        <f>AND('zwei Datensätze'!N1,"AAAAAFvf9w0=")</f>
        <v>#VALUE!</v>
      </c>
      <c r="O1" t="e">
        <f>AND('zwei Datensätze'!O1,"AAAAAFvf9w4=")</f>
        <v>#VALUE!</v>
      </c>
      <c r="P1" t="e">
        <f>AND('zwei Datensätze'!P1,"AAAAAFvf9w8=")</f>
        <v>#VALUE!</v>
      </c>
      <c r="Q1" t="e">
        <f>AND('zwei Datensätze'!Q1,"AAAAAFvf9xA=")</f>
        <v>#VALUE!</v>
      </c>
      <c r="R1" t="e">
        <f>AND('zwei Datensätze'!R1,"AAAAAFvf9xE=")</f>
        <v>#VALUE!</v>
      </c>
      <c r="S1" t="e">
        <f>AND('zwei Datensätze'!S1,"AAAAAFvf9xI=")</f>
        <v>#VALUE!</v>
      </c>
      <c r="T1" t="e">
        <f>AND('zwei Datensätze'!T1,"AAAAAFvf9xM=")</f>
        <v>#VALUE!</v>
      </c>
      <c r="U1" t="e">
        <f>AND('zwei Datensätze'!U1,"AAAAAFvf9xQ=")</f>
        <v>#VALUE!</v>
      </c>
      <c r="V1" t="e">
        <f>AND('zwei Datensätze'!V1,"AAAAAFvf9xU=")</f>
        <v>#VALUE!</v>
      </c>
      <c r="W1" t="e">
        <f>AND('zwei Datensätze'!W1,"AAAAAFvf9xY=")</f>
        <v>#VALUE!</v>
      </c>
      <c r="X1">
        <f>IF('zwei Datensätze'!2:2,"AAAAAFvf9xc=",0)</f>
        <v>0</v>
      </c>
      <c r="Y1" t="e">
        <f>AND('zwei Datensätze'!B2,"AAAAAFvf9xg=")</f>
        <v>#VALUE!</v>
      </c>
      <c r="Z1" t="e">
        <f>AND('zwei Datensätze'!C2,"AAAAAFvf9xk=")</f>
        <v>#VALUE!</v>
      </c>
      <c r="AA1" t="e">
        <f>AND('zwei Datensätze'!D2,"AAAAAFvf9xo=")</f>
        <v>#VALUE!</v>
      </c>
      <c r="AB1" t="e">
        <f>AND('zwei Datensätze'!E2,"AAAAAFvf9xs=")</f>
        <v>#VALUE!</v>
      </c>
      <c r="AC1" t="e">
        <f>AND('zwei Datensätze'!F2,"AAAAAFvf9xw=")</f>
        <v>#VALUE!</v>
      </c>
      <c r="AD1" t="e">
        <f>AND('zwei Datensätze'!G2,"AAAAAFvf9x0=")</f>
        <v>#VALUE!</v>
      </c>
      <c r="AE1" t="e">
        <f>AND('zwei Datensätze'!H2,"AAAAAFvf9x4=")</f>
        <v>#VALUE!</v>
      </c>
      <c r="AF1" t="e">
        <f>AND('zwei Datensätze'!I2,"AAAAAFvf9x8=")</f>
        <v>#VALUE!</v>
      </c>
      <c r="AG1" t="e">
        <f>AND('zwei Datensätze'!J2,"AAAAAFvf9yA=")</f>
        <v>#VALUE!</v>
      </c>
      <c r="AH1" t="e">
        <f>AND('zwei Datensätze'!K2,"AAAAAFvf9yE=")</f>
        <v>#VALUE!</v>
      </c>
      <c r="AI1" t="e">
        <f>AND('zwei Datensätze'!L2,"AAAAAFvf9yI=")</f>
        <v>#VALUE!</v>
      </c>
      <c r="AJ1" t="e">
        <f>AND('zwei Datensätze'!M2,"AAAAAFvf9yM=")</f>
        <v>#VALUE!</v>
      </c>
      <c r="AK1" t="e">
        <f>AND('zwei Datensätze'!N2,"AAAAAFvf9yQ=")</f>
        <v>#VALUE!</v>
      </c>
      <c r="AL1" t="e">
        <f>AND('zwei Datensätze'!O2,"AAAAAFvf9yU=")</f>
        <v>#VALUE!</v>
      </c>
      <c r="AM1" t="e">
        <f>AND('zwei Datensätze'!P2,"AAAAAFvf9yY=")</f>
        <v>#VALUE!</v>
      </c>
      <c r="AN1" t="e">
        <f>AND('zwei Datensätze'!Q2,"AAAAAFvf9yc=")</f>
        <v>#VALUE!</v>
      </c>
      <c r="AO1" t="e">
        <f>AND('zwei Datensätze'!R2,"AAAAAFvf9yg=")</f>
        <v>#VALUE!</v>
      </c>
      <c r="AP1" t="e">
        <f>AND('zwei Datensätze'!S2,"AAAAAFvf9yk=")</f>
        <v>#VALUE!</v>
      </c>
      <c r="AQ1" t="e">
        <f>AND('zwei Datensätze'!T2,"AAAAAFvf9yo=")</f>
        <v>#VALUE!</v>
      </c>
      <c r="AR1" t="e">
        <f>AND('zwei Datensätze'!U2,"AAAAAFvf9ys=")</f>
        <v>#VALUE!</v>
      </c>
      <c r="AS1" t="e">
        <f>AND('zwei Datensätze'!V2,"AAAAAFvf9yw=")</f>
        <v>#VALUE!</v>
      </c>
      <c r="AT1" t="e">
        <f>AND('zwei Datensätze'!W2,"AAAAAFvf9y0=")</f>
        <v>#VALUE!</v>
      </c>
      <c r="AU1">
        <f>IF('zwei Datensätze'!3:3,"AAAAAFvf9y4=",0)</f>
        <v>0</v>
      </c>
      <c r="AV1" t="e">
        <f>AND('zwei Datensätze'!B3,"AAAAAFvf9y8=")</f>
        <v>#VALUE!</v>
      </c>
      <c r="AW1" t="e">
        <f>AND('zwei Datensätze'!C3,"AAAAAFvf9zA=")</f>
        <v>#VALUE!</v>
      </c>
      <c r="AX1" t="e">
        <f>AND('zwei Datensätze'!D3,"AAAAAFvf9zE=")</f>
        <v>#VALUE!</v>
      </c>
      <c r="AY1" t="e">
        <f>AND('zwei Datensätze'!E3,"AAAAAFvf9zI=")</f>
        <v>#VALUE!</v>
      </c>
      <c r="AZ1" t="e">
        <f>AND('zwei Datensätze'!F3,"AAAAAFvf9zM=")</f>
        <v>#VALUE!</v>
      </c>
      <c r="BA1" t="e">
        <f>AND('zwei Datensätze'!G3,"AAAAAFvf9zQ=")</f>
        <v>#VALUE!</v>
      </c>
      <c r="BB1" t="e">
        <f>AND('zwei Datensätze'!H3,"AAAAAFvf9zU=")</f>
        <v>#VALUE!</v>
      </c>
      <c r="BC1" t="e">
        <f>AND('zwei Datensätze'!I3,"AAAAAFvf9zY=")</f>
        <v>#VALUE!</v>
      </c>
      <c r="BD1" t="e">
        <f>AND('zwei Datensätze'!J3,"AAAAAFvf9zc=")</f>
        <v>#VALUE!</v>
      </c>
      <c r="BE1" t="e">
        <f>AND('zwei Datensätze'!K3,"AAAAAFvf9zg=")</f>
        <v>#VALUE!</v>
      </c>
      <c r="BF1" t="e">
        <f>AND('zwei Datensätze'!L3,"AAAAAFvf9zk=")</f>
        <v>#VALUE!</v>
      </c>
      <c r="BG1" t="e">
        <f>AND('zwei Datensätze'!M3,"AAAAAFvf9zo=")</f>
        <v>#VALUE!</v>
      </c>
      <c r="BH1" t="e">
        <f>AND('zwei Datensätze'!N3,"AAAAAFvf9zs=")</f>
        <v>#VALUE!</v>
      </c>
      <c r="BI1" t="e">
        <f>AND('zwei Datensätze'!O3,"AAAAAFvf9zw=")</f>
        <v>#VALUE!</v>
      </c>
      <c r="BJ1" t="e">
        <f>AND('zwei Datensätze'!P3,"AAAAAFvf9z0=")</f>
        <v>#VALUE!</v>
      </c>
      <c r="BK1" t="e">
        <f>AND('zwei Datensätze'!Q3,"AAAAAFvf9z4=")</f>
        <v>#VALUE!</v>
      </c>
      <c r="BL1" t="e">
        <f>AND('zwei Datensätze'!R3,"AAAAAFvf9z8=")</f>
        <v>#VALUE!</v>
      </c>
      <c r="BM1" t="e">
        <f>AND('zwei Datensätze'!S3,"AAAAAFvf90A=")</f>
        <v>#VALUE!</v>
      </c>
      <c r="BN1" t="e">
        <f>AND('zwei Datensätze'!T3,"AAAAAFvf90E=")</f>
        <v>#VALUE!</v>
      </c>
      <c r="BO1" t="e">
        <f>AND('zwei Datensätze'!U3,"AAAAAFvf90I=")</f>
        <v>#VALUE!</v>
      </c>
      <c r="BP1" t="e">
        <f>AND('zwei Datensätze'!V3,"AAAAAFvf90M=")</f>
        <v>#VALUE!</v>
      </c>
      <c r="BQ1" t="e">
        <f>AND('zwei Datensätze'!W3,"AAAAAFvf90Q=")</f>
        <v>#VALUE!</v>
      </c>
      <c r="BR1">
        <f>IF('zwei Datensätze'!4:4,"AAAAAFvf90U=",0)</f>
        <v>0</v>
      </c>
      <c r="BS1" t="e">
        <f>AND('zwei Datensätze'!B4,"AAAAAFvf90Y=")</f>
        <v>#VALUE!</v>
      </c>
      <c r="BT1" t="e">
        <f>AND('zwei Datensätze'!C4,"AAAAAFvf90c=")</f>
        <v>#VALUE!</v>
      </c>
      <c r="BU1" t="e">
        <f>AND('zwei Datensätze'!D4,"AAAAAFvf90g=")</f>
        <v>#VALUE!</v>
      </c>
      <c r="BV1" t="e">
        <f>AND('zwei Datensätze'!E4,"AAAAAFvf90k=")</f>
        <v>#VALUE!</v>
      </c>
      <c r="BW1" t="e">
        <f>AND('zwei Datensätze'!F4,"AAAAAFvf90o=")</f>
        <v>#VALUE!</v>
      </c>
      <c r="BX1" t="e">
        <f>AND('zwei Datensätze'!G4,"AAAAAFvf90s=")</f>
        <v>#VALUE!</v>
      </c>
      <c r="BY1" t="e">
        <f>AND('zwei Datensätze'!H4,"AAAAAFvf90w=")</f>
        <v>#VALUE!</v>
      </c>
      <c r="BZ1" t="e">
        <f>AND('zwei Datensätze'!I4,"AAAAAFvf900=")</f>
        <v>#VALUE!</v>
      </c>
      <c r="CA1" t="e">
        <f>AND('zwei Datensätze'!J4,"AAAAAFvf904=")</f>
        <v>#VALUE!</v>
      </c>
      <c r="CB1" t="e">
        <f>AND('zwei Datensätze'!K4,"AAAAAFvf908=")</f>
        <v>#VALUE!</v>
      </c>
      <c r="CC1" t="e">
        <f>AND('zwei Datensätze'!L4,"AAAAAFvf91A=")</f>
        <v>#VALUE!</v>
      </c>
      <c r="CD1" t="e">
        <f>AND('zwei Datensätze'!M4,"AAAAAFvf91E=")</f>
        <v>#VALUE!</v>
      </c>
      <c r="CE1" t="e">
        <f>AND('zwei Datensätze'!N4,"AAAAAFvf91I=")</f>
        <v>#VALUE!</v>
      </c>
      <c r="CF1" t="e">
        <f>AND('zwei Datensätze'!O4,"AAAAAFvf91M=")</f>
        <v>#VALUE!</v>
      </c>
      <c r="CG1" t="e">
        <f>AND('zwei Datensätze'!P4,"AAAAAFvf91Q=")</f>
        <v>#VALUE!</v>
      </c>
      <c r="CH1" t="e">
        <f>AND('zwei Datensätze'!Q4,"AAAAAFvf91U=")</f>
        <v>#VALUE!</v>
      </c>
      <c r="CI1" t="e">
        <f>AND('zwei Datensätze'!R4,"AAAAAFvf91Y=")</f>
        <v>#VALUE!</v>
      </c>
      <c r="CJ1" t="e">
        <f>AND('zwei Datensätze'!S4,"AAAAAFvf91c=")</f>
        <v>#VALUE!</v>
      </c>
      <c r="CK1" t="e">
        <f>AND('zwei Datensätze'!T4,"AAAAAFvf91g=")</f>
        <v>#VALUE!</v>
      </c>
      <c r="CL1" t="e">
        <f>AND('zwei Datensätze'!U4,"AAAAAFvf91k=")</f>
        <v>#VALUE!</v>
      </c>
      <c r="CM1" t="e">
        <f>AND('zwei Datensätze'!V4,"AAAAAFvf91o=")</f>
        <v>#VALUE!</v>
      </c>
      <c r="CN1" t="e">
        <f>AND('zwei Datensätze'!W4,"AAAAAFvf91s=")</f>
        <v>#VALUE!</v>
      </c>
      <c r="CO1">
        <f>IF('zwei Datensätze'!5:5,"AAAAAFvf91w=",0)</f>
        <v>0</v>
      </c>
      <c r="CP1" t="e">
        <f>AND('zwei Datensätze'!B5,"AAAAAFvf910=")</f>
        <v>#VALUE!</v>
      </c>
      <c r="CQ1" t="e">
        <f>AND('zwei Datensätze'!C5,"AAAAAFvf914=")</f>
        <v>#VALUE!</v>
      </c>
      <c r="CR1" t="e">
        <f>AND('zwei Datensätze'!D5,"AAAAAFvf918=")</f>
        <v>#VALUE!</v>
      </c>
      <c r="CS1" t="e">
        <f>AND('zwei Datensätze'!E5,"AAAAAFvf92A=")</f>
        <v>#VALUE!</v>
      </c>
      <c r="CT1" t="e">
        <f>AND('zwei Datensätze'!F5,"AAAAAFvf92E=")</f>
        <v>#VALUE!</v>
      </c>
      <c r="CU1" t="e">
        <f>AND('zwei Datensätze'!G5,"AAAAAFvf92I=")</f>
        <v>#VALUE!</v>
      </c>
      <c r="CV1" t="e">
        <f>AND('zwei Datensätze'!H5,"AAAAAFvf92M=")</f>
        <v>#VALUE!</v>
      </c>
      <c r="CW1" t="e">
        <f>AND('zwei Datensätze'!I5,"AAAAAFvf92Q=")</f>
        <v>#VALUE!</v>
      </c>
      <c r="CX1" t="e">
        <f>AND('zwei Datensätze'!J5,"AAAAAFvf92U=")</f>
        <v>#VALUE!</v>
      </c>
      <c r="CY1" t="e">
        <f>AND('zwei Datensätze'!K5,"AAAAAFvf92Y=")</f>
        <v>#VALUE!</v>
      </c>
      <c r="CZ1" t="e">
        <f>AND('zwei Datensätze'!L5,"AAAAAFvf92c=")</f>
        <v>#VALUE!</v>
      </c>
      <c r="DA1" t="e">
        <f>AND('zwei Datensätze'!M5,"AAAAAFvf92g=")</f>
        <v>#VALUE!</v>
      </c>
      <c r="DB1" t="e">
        <f>AND('zwei Datensätze'!N5,"AAAAAFvf92k=")</f>
        <v>#VALUE!</v>
      </c>
      <c r="DC1" t="e">
        <f>AND('zwei Datensätze'!O5,"AAAAAFvf92o=")</f>
        <v>#VALUE!</v>
      </c>
      <c r="DD1" t="e">
        <f>AND('zwei Datensätze'!P5,"AAAAAFvf92s=")</f>
        <v>#VALUE!</v>
      </c>
      <c r="DE1" t="e">
        <f>AND('zwei Datensätze'!Q5,"AAAAAFvf92w=")</f>
        <v>#VALUE!</v>
      </c>
      <c r="DF1" t="e">
        <f>AND('zwei Datensätze'!R5,"AAAAAFvf920=")</f>
        <v>#VALUE!</v>
      </c>
      <c r="DG1" t="e">
        <f>AND('zwei Datensätze'!S5,"AAAAAFvf924=")</f>
        <v>#VALUE!</v>
      </c>
      <c r="DH1" t="e">
        <f>AND('zwei Datensätze'!T5,"AAAAAFvf928=")</f>
        <v>#VALUE!</v>
      </c>
      <c r="DI1" t="e">
        <f>AND('zwei Datensätze'!U5,"AAAAAFvf93A=")</f>
        <v>#VALUE!</v>
      </c>
      <c r="DJ1" t="e">
        <f>AND('zwei Datensätze'!V5,"AAAAAFvf93E=")</f>
        <v>#VALUE!</v>
      </c>
      <c r="DK1" t="e">
        <f>AND('zwei Datensätze'!W5,"AAAAAFvf93I=")</f>
        <v>#VALUE!</v>
      </c>
      <c r="DL1">
        <f>IF('zwei Datensätze'!6:6,"AAAAAFvf93M=",0)</f>
        <v>0</v>
      </c>
      <c r="DM1" t="e">
        <f>AND('zwei Datensätze'!B6,"AAAAAFvf93Q=")</f>
        <v>#VALUE!</v>
      </c>
      <c r="DN1" t="e">
        <f>AND('zwei Datensätze'!C6,"AAAAAFvf93U=")</f>
        <v>#VALUE!</v>
      </c>
      <c r="DO1" t="e">
        <f>AND('zwei Datensätze'!D6,"AAAAAFvf93Y=")</f>
        <v>#VALUE!</v>
      </c>
      <c r="DP1" t="e">
        <f>AND('zwei Datensätze'!E6,"AAAAAFvf93c=")</f>
        <v>#VALUE!</v>
      </c>
      <c r="DQ1" t="e">
        <f>AND('zwei Datensätze'!F6,"AAAAAFvf93g=")</f>
        <v>#VALUE!</v>
      </c>
      <c r="DR1" t="e">
        <f>AND('zwei Datensätze'!G6,"AAAAAFvf93k=")</f>
        <v>#VALUE!</v>
      </c>
      <c r="DS1" t="e">
        <f>AND('zwei Datensätze'!H6,"AAAAAFvf93o=")</f>
        <v>#VALUE!</v>
      </c>
      <c r="DT1" t="e">
        <f>AND('zwei Datensätze'!I6,"AAAAAFvf93s=")</f>
        <v>#VALUE!</v>
      </c>
      <c r="DU1" t="e">
        <f>AND('zwei Datensätze'!J6,"AAAAAFvf93w=")</f>
        <v>#VALUE!</v>
      </c>
      <c r="DV1" t="e">
        <f>AND('zwei Datensätze'!K6,"AAAAAFvf930=")</f>
        <v>#VALUE!</v>
      </c>
      <c r="DW1" t="e">
        <f>AND('zwei Datensätze'!L6,"AAAAAFvf934=")</f>
        <v>#VALUE!</v>
      </c>
      <c r="DX1" t="e">
        <f>AND('zwei Datensätze'!M6,"AAAAAFvf938=")</f>
        <v>#VALUE!</v>
      </c>
      <c r="DY1" t="e">
        <f>AND('zwei Datensätze'!N6,"AAAAAFvf94A=")</f>
        <v>#VALUE!</v>
      </c>
      <c r="DZ1" t="e">
        <f>AND('zwei Datensätze'!O6,"AAAAAFvf94E=")</f>
        <v>#VALUE!</v>
      </c>
      <c r="EA1" t="e">
        <f>AND('zwei Datensätze'!P6,"AAAAAFvf94I=")</f>
        <v>#VALUE!</v>
      </c>
      <c r="EB1" t="e">
        <f>AND('zwei Datensätze'!Q6,"AAAAAFvf94M=")</f>
        <v>#VALUE!</v>
      </c>
      <c r="EC1" t="e">
        <f>AND('zwei Datensätze'!R6,"AAAAAFvf94Q=")</f>
        <v>#VALUE!</v>
      </c>
      <c r="ED1" t="e">
        <f>AND('zwei Datensätze'!S6,"AAAAAFvf94U=")</f>
        <v>#VALUE!</v>
      </c>
      <c r="EE1" t="e">
        <f>AND('zwei Datensätze'!T6,"AAAAAFvf94Y=")</f>
        <v>#VALUE!</v>
      </c>
      <c r="EF1" t="e">
        <f>AND('zwei Datensätze'!U6,"AAAAAFvf94c=")</f>
        <v>#VALUE!</v>
      </c>
      <c r="EG1" t="e">
        <f>AND('zwei Datensätze'!V6,"AAAAAFvf94g=")</f>
        <v>#VALUE!</v>
      </c>
      <c r="EH1" t="e">
        <f>AND('zwei Datensätze'!W6,"AAAAAFvf94k=")</f>
        <v>#VALUE!</v>
      </c>
      <c r="EI1">
        <f>IF('zwei Datensätze'!7:7,"AAAAAFvf94o=",0)</f>
        <v>0</v>
      </c>
      <c r="EJ1" t="e">
        <f>AND('zwei Datensätze'!B7,"AAAAAFvf94s=")</f>
        <v>#VALUE!</v>
      </c>
      <c r="EK1" t="e">
        <f>AND('zwei Datensätze'!C7,"AAAAAFvf94w=")</f>
        <v>#VALUE!</v>
      </c>
      <c r="EL1" t="e">
        <f>AND('zwei Datensätze'!D7,"AAAAAFvf940=")</f>
        <v>#VALUE!</v>
      </c>
      <c r="EM1" t="e">
        <f>AND('zwei Datensätze'!E7,"AAAAAFvf944=")</f>
        <v>#VALUE!</v>
      </c>
      <c r="EN1" t="e">
        <f>AND('zwei Datensätze'!F7,"AAAAAFvf948=")</f>
        <v>#VALUE!</v>
      </c>
      <c r="EO1" t="e">
        <f>AND('zwei Datensätze'!G7,"AAAAAFvf95A=")</f>
        <v>#VALUE!</v>
      </c>
      <c r="EP1" t="e">
        <f>AND('zwei Datensätze'!H7,"AAAAAFvf95E=")</f>
        <v>#VALUE!</v>
      </c>
      <c r="EQ1" t="e">
        <f>AND('zwei Datensätze'!I7,"AAAAAFvf95I=")</f>
        <v>#VALUE!</v>
      </c>
      <c r="ER1" t="e">
        <f>AND('zwei Datensätze'!J7,"AAAAAFvf95M=")</f>
        <v>#VALUE!</v>
      </c>
      <c r="ES1" t="e">
        <f>AND('zwei Datensätze'!K7,"AAAAAFvf95Q=")</f>
        <v>#VALUE!</v>
      </c>
      <c r="ET1" t="e">
        <f>AND('zwei Datensätze'!L7,"AAAAAFvf95U=")</f>
        <v>#VALUE!</v>
      </c>
      <c r="EU1" t="e">
        <f>AND('zwei Datensätze'!M7,"AAAAAFvf95Y=")</f>
        <v>#VALUE!</v>
      </c>
      <c r="EV1" t="e">
        <f>AND('zwei Datensätze'!N7,"AAAAAFvf95c=")</f>
        <v>#VALUE!</v>
      </c>
      <c r="EW1" t="e">
        <f>AND('zwei Datensätze'!O7,"AAAAAFvf95g=")</f>
        <v>#VALUE!</v>
      </c>
      <c r="EX1" t="e">
        <f>AND('zwei Datensätze'!P7,"AAAAAFvf95k=")</f>
        <v>#VALUE!</v>
      </c>
      <c r="EY1" t="e">
        <f>AND('zwei Datensätze'!Q7,"AAAAAFvf95o=")</f>
        <v>#VALUE!</v>
      </c>
      <c r="EZ1" t="e">
        <f>AND('zwei Datensätze'!R7,"AAAAAFvf95s=")</f>
        <v>#VALUE!</v>
      </c>
      <c r="FA1" t="e">
        <f>AND('zwei Datensätze'!S7,"AAAAAFvf95w=")</f>
        <v>#VALUE!</v>
      </c>
      <c r="FB1" t="e">
        <f>AND('zwei Datensätze'!T7,"AAAAAFvf950=")</f>
        <v>#VALUE!</v>
      </c>
      <c r="FC1" t="e">
        <f>AND('zwei Datensätze'!U7,"AAAAAFvf954=")</f>
        <v>#VALUE!</v>
      </c>
      <c r="FD1" t="e">
        <f>AND('zwei Datensätze'!V7,"AAAAAFvf958=")</f>
        <v>#VALUE!</v>
      </c>
      <c r="FE1" t="e">
        <f>AND('zwei Datensätze'!W7,"AAAAAFvf96A=")</f>
        <v>#VALUE!</v>
      </c>
      <c r="FF1">
        <f>IF('zwei Datensätze'!8:8,"AAAAAFvf96E=",0)</f>
        <v>0</v>
      </c>
      <c r="FG1" t="e">
        <f>AND('zwei Datensätze'!B8,"AAAAAFvf96I=")</f>
        <v>#VALUE!</v>
      </c>
      <c r="FH1" t="e">
        <f>AND('zwei Datensätze'!C8,"AAAAAFvf96M=")</f>
        <v>#VALUE!</v>
      </c>
      <c r="FI1" t="e">
        <f>AND('zwei Datensätze'!D8,"AAAAAFvf96Q=")</f>
        <v>#VALUE!</v>
      </c>
      <c r="FJ1" t="e">
        <f>AND('zwei Datensätze'!E8,"AAAAAFvf96U=")</f>
        <v>#VALUE!</v>
      </c>
      <c r="FK1" t="e">
        <f>AND('zwei Datensätze'!F8,"AAAAAFvf96Y=")</f>
        <v>#VALUE!</v>
      </c>
      <c r="FL1" t="e">
        <f>AND('zwei Datensätze'!G8,"AAAAAFvf96c=")</f>
        <v>#VALUE!</v>
      </c>
      <c r="FM1" t="e">
        <f>AND('zwei Datensätze'!H8,"AAAAAFvf96g=")</f>
        <v>#VALUE!</v>
      </c>
      <c r="FN1" t="e">
        <f>AND('zwei Datensätze'!I8,"AAAAAFvf96k=")</f>
        <v>#VALUE!</v>
      </c>
      <c r="FO1" t="e">
        <f>AND('zwei Datensätze'!J8,"AAAAAFvf96o=")</f>
        <v>#VALUE!</v>
      </c>
      <c r="FP1" t="e">
        <f>AND('zwei Datensätze'!K8,"AAAAAFvf96s=")</f>
        <v>#VALUE!</v>
      </c>
      <c r="FQ1" t="e">
        <f>AND('zwei Datensätze'!L8,"AAAAAFvf96w=")</f>
        <v>#VALUE!</v>
      </c>
      <c r="FR1" t="e">
        <f>AND('zwei Datensätze'!M8,"AAAAAFvf960=")</f>
        <v>#VALUE!</v>
      </c>
      <c r="FS1" t="e">
        <f>AND('zwei Datensätze'!N8,"AAAAAFvf964=")</f>
        <v>#VALUE!</v>
      </c>
      <c r="FT1" t="e">
        <f>AND('zwei Datensätze'!O8,"AAAAAFvf968=")</f>
        <v>#VALUE!</v>
      </c>
      <c r="FU1" t="e">
        <f>AND('zwei Datensätze'!P8,"AAAAAFvf97A=")</f>
        <v>#VALUE!</v>
      </c>
      <c r="FV1" t="e">
        <f>AND('zwei Datensätze'!Q8,"AAAAAFvf97E=")</f>
        <v>#VALUE!</v>
      </c>
      <c r="FW1" t="e">
        <f>AND('zwei Datensätze'!R8,"AAAAAFvf97I=")</f>
        <v>#VALUE!</v>
      </c>
      <c r="FX1" t="e">
        <f>AND('zwei Datensätze'!S8,"AAAAAFvf97M=")</f>
        <v>#VALUE!</v>
      </c>
      <c r="FY1" t="e">
        <f>AND('zwei Datensätze'!T8,"AAAAAFvf97Q=")</f>
        <v>#VALUE!</v>
      </c>
      <c r="FZ1" t="e">
        <f>AND('zwei Datensätze'!U8,"AAAAAFvf97U=")</f>
        <v>#VALUE!</v>
      </c>
      <c r="GA1" t="e">
        <f>AND('zwei Datensätze'!V8,"AAAAAFvf97Y=")</f>
        <v>#VALUE!</v>
      </c>
      <c r="GB1" t="e">
        <f>AND('zwei Datensätze'!W8,"AAAAAFvf97c=")</f>
        <v>#VALUE!</v>
      </c>
      <c r="GC1">
        <f>IF('zwei Datensätze'!9:9,"AAAAAFvf97g=",0)</f>
        <v>0</v>
      </c>
      <c r="GD1" t="e">
        <f>AND('zwei Datensätze'!B9,"AAAAAFvf97k=")</f>
        <v>#VALUE!</v>
      </c>
      <c r="GE1" t="e">
        <f>AND('zwei Datensätze'!C9,"AAAAAFvf97o=")</f>
        <v>#VALUE!</v>
      </c>
      <c r="GF1" t="e">
        <f>AND('zwei Datensätze'!D9,"AAAAAFvf97s=")</f>
        <v>#VALUE!</v>
      </c>
      <c r="GG1" t="e">
        <f>AND('zwei Datensätze'!E9,"AAAAAFvf97w=")</f>
        <v>#VALUE!</v>
      </c>
      <c r="GH1" t="e">
        <f>AND('zwei Datensätze'!F9,"AAAAAFvf970=")</f>
        <v>#VALUE!</v>
      </c>
      <c r="GI1" t="e">
        <f>AND('zwei Datensätze'!G9,"AAAAAFvf974=")</f>
        <v>#VALUE!</v>
      </c>
      <c r="GJ1" t="e">
        <f>AND('zwei Datensätze'!H9,"AAAAAFvf978=")</f>
        <v>#VALUE!</v>
      </c>
      <c r="GK1" t="e">
        <f>AND('zwei Datensätze'!I9,"AAAAAFvf98A=")</f>
        <v>#VALUE!</v>
      </c>
      <c r="GL1" t="e">
        <f>AND('zwei Datensätze'!J9,"AAAAAFvf98E=")</f>
        <v>#VALUE!</v>
      </c>
      <c r="GM1" t="e">
        <f>AND('zwei Datensätze'!K9,"AAAAAFvf98I=")</f>
        <v>#VALUE!</v>
      </c>
      <c r="GN1" t="e">
        <f>AND('zwei Datensätze'!L9,"AAAAAFvf98M=")</f>
        <v>#VALUE!</v>
      </c>
      <c r="GO1" t="e">
        <f>AND('zwei Datensätze'!M9,"AAAAAFvf98Q=")</f>
        <v>#VALUE!</v>
      </c>
      <c r="GP1" t="e">
        <f>AND('zwei Datensätze'!N9,"AAAAAFvf98U=")</f>
        <v>#VALUE!</v>
      </c>
      <c r="GQ1" t="e">
        <f>AND('zwei Datensätze'!O9,"AAAAAFvf98Y=")</f>
        <v>#VALUE!</v>
      </c>
      <c r="GR1" t="e">
        <f>AND('zwei Datensätze'!P9,"AAAAAFvf98c=")</f>
        <v>#VALUE!</v>
      </c>
      <c r="GS1" t="e">
        <f>AND('zwei Datensätze'!Q9,"AAAAAFvf98g=")</f>
        <v>#VALUE!</v>
      </c>
      <c r="GT1" t="e">
        <f>AND('zwei Datensätze'!R9,"AAAAAFvf98k=")</f>
        <v>#VALUE!</v>
      </c>
      <c r="GU1" t="e">
        <f>AND('zwei Datensätze'!S9,"AAAAAFvf98o=")</f>
        <v>#VALUE!</v>
      </c>
      <c r="GV1" t="e">
        <f>AND('zwei Datensätze'!T9,"AAAAAFvf98s=")</f>
        <v>#VALUE!</v>
      </c>
      <c r="GW1" t="e">
        <f>AND('zwei Datensätze'!U9,"AAAAAFvf98w=")</f>
        <v>#VALUE!</v>
      </c>
      <c r="GX1" t="e">
        <f>AND('zwei Datensätze'!V9,"AAAAAFvf980=")</f>
        <v>#VALUE!</v>
      </c>
      <c r="GY1" t="e">
        <f>AND('zwei Datensätze'!W9,"AAAAAFvf984=")</f>
        <v>#VALUE!</v>
      </c>
      <c r="GZ1">
        <f>IF('zwei Datensätze'!10:10,"AAAAAFvf988=",0)</f>
        <v>0</v>
      </c>
      <c r="HA1" t="e">
        <f>AND('zwei Datensätze'!B10,"AAAAAFvf99A=")</f>
        <v>#VALUE!</v>
      </c>
      <c r="HB1" t="e">
        <f>AND('zwei Datensätze'!C10,"AAAAAFvf99E=")</f>
        <v>#VALUE!</v>
      </c>
      <c r="HC1" t="e">
        <f>AND('zwei Datensätze'!D10,"AAAAAFvf99I=")</f>
        <v>#VALUE!</v>
      </c>
      <c r="HD1" t="e">
        <f>AND('zwei Datensätze'!E10,"AAAAAFvf99M=")</f>
        <v>#VALUE!</v>
      </c>
      <c r="HE1" t="e">
        <f>AND('zwei Datensätze'!F10,"AAAAAFvf99Q=")</f>
        <v>#VALUE!</v>
      </c>
      <c r="HF1" t="e">
        <f>AND('zwei Datensätze'!G10,"AAAAAFvf99U=")</f>
        <v>#VALUE!</v>
      </c>
      <c r="HG1" t="e">
        <f>AND('zwei Datensätze'!H10,"AAAAAFvf99Y=")</f>
        <v>#VALUE!</v>
      </c>
      <c r="HH1" t="e">
        <f>AND('zwei Datensätze'!I10,"AAAAAFvf99c=")</f>
        <v>#VALUE!</v>
      </c>
      <c r="HI1" t="e">
        <f>AND('zwei Datensätze'!J10,"AAAAAFvf99g=")</f>
        <v>#VALUE!</v>
      </c>
      <c r="HJ1" t="e">
        <f>AND('zwei Datensätze'!K10,"AAAAAFvf99k=")</f>
        <v>#VALUE!</v>
      </c>
      <c r="HK1" t="e">
        <f>AND('zwei Datensätze'!L10,"AAAAAFvf99o=")</f>
        <v>#VALUE!</v>
      </c>
      <c r="HL1" t="e">
        <f>AND('zwei Datensätze'!M10,"AAAAAFvf99s=")</f>
        <v>#VALUE!</v>
      </c>
      <c r="HM1" t="e">
        <f>AND('zwei Datensätze'!N10,"AAAAAFvf99w=")</f>
        <v>#VALUE!</v>
      </c>
      <c r="HN1" t="e">
        <f>AND('zwei Datensätze'!O10,"AAAAAFvf990=")</f>
        <v>#VALUE!</v>
      </c>
      <c r="HO1" t="e">
        <f>AND('zwei Datensätze'!P10,"AAAAAFvf994=")</f>
        <v>#VALUE!</v>
      </c>
      <c r="HP1" t="e">
        <f>AND('zwei Datensätze'!Q10,"AAAAAFvf998=")</f>
        <v>#VALUE!</v>
      </c>
      <c r="HQ1" t="e">
        <f>AND('zwei Datensätze'!R10,"AAAAAFvf9+A=")</f>
        <v>#VALUE!</v>
      </c>
      <c r="HR1" t="e">
        <f>AND('zwei Datensätze'!S10,"AAAAAFvf9+E=")</f>
        <v>#VALUE!</v>
      </c>
      <c r="HS1" t="e">
        <f>AND('zwei Datensätze'!T10,"AAAAAFvf9+I=")</f>
        <v>#VALUE!</v>
      </c>
      <c r="HT1" t="e">
        <f>AND('zwei Datensätze'!U10,"AAAAAFvf9+M=")</f>
        <v>#VALUE!</v>
      </c>
      <c r="HU1" t="e">
        <f>AND('zwei Datensätze'!V10,"AAAAAFvf9+Q=")</f>
        <v>#VALUE!</v>
      </c>
      <c r="HV1" t="e">
        <f>AND('zwei Datensätze'!W10,"AAAAAFvf9+U=")</f>
        <v>#VALUE!</v>
      </c>
      <c r="HW1">
        <f>IF('zwei Datensätze'!11:11,"AAAAAFvf9+Y=",0)</f>
        <v>0</v>
      </c>
      <c r="HX1" t="e">
        <f>AND('zwei Datensätze'!B11,"AAAAAFvf9+c=")</f>
        <v>#VALUE!</v>
      </c>
      <c r="HY1" t="e">
        <f>AND('zwei Datensätze'!C11,"AAAAAFvf9+g=")</f>
        <v>#VALUE!</v>
      </c>
      <c r="HZ1" t="e">
        <f>AND('zwei Datensätze'!D11,"AAAAAFvf9+k=")</f>
        <v>#VALUE!</v>
      </c>
      <c r="IA1" t="e">
        <f>AND('zwei Datensätze'!E11,"AAAAAFvf9+o=")</f>
        <v>#VALUE!</v>
      </c>
      <c r="IB1" t="e">
        <f>AND('zwei Datensätze'!F11,"AAAAAFvf9+s=")</f>
        <v>#VALUE!</v>
      </c>
      <c r="IC1" t="e">
        <f>AND('zwei Datensätze'!G11,"AAAAAFvf9+w=")</f>
        <v>#VALUE!</v>
      </c>
      <c r="ID1" t="e">
        <f>AND('zwei Datensätze'!H11,"AAAAAFvf9+0=")</f>
        <v>#VALUE!</v>
      </c>
      <c r="IE1" t="e">
        <f>AND('zwei Datensätze'!I11,"AAAAAFvf9+4=")</f>
        <v>#VALUE!</v>
      </c>
      <c r="IF1" t="e">
        <f>AND('zwei Datensätze'!J11,"AAAAAFvf9+8=")</f>
        <v>#VALUE!</v>
      </c>
      <c r="IG1" t="e">
        <f>AND('zwei Datensätze'!K11,"AAAAAFvf9/A=")</f>
        <v>#VALUE!</v>
      </c>
      <c r="IH1" t="e">
        <f>AND('zwei Datensätze'!L11,"AAAAAFvf9/E=")</f>
        <v>#VALUE!</v>
      </c>
      <c r="II1" t="e">
        <f>AND('zwei Datensätze'!M11,"AAAAAFvf9/I=")</f>
        <v>#VALUE!</v>
      </c>
      <c r="IJ1" t="e">
        <f>AND('zwei Datensätze'!N11,"AAAAAFvf9/M=")</f>
        <v>#VALUE!</v>
      </c>
      <c r="IK1" t="e">
        <f>AND('zwei Datensätze'!O11,"AAAAAFvf9/Q=")</f>
        <v>#VALUE!</v>
      </c>
      <c r="IL1" t="e">
        <f>AND('zwei Datensätze'!P11,"AAAAAFvf9/U=")</f>
        <v>#VALUE!</v>
      </c>
      <c r="IM1" t="e">
        <f>AND('zwei Datensätze'!Q11,"AAAAAFvf9/Y=")</f>
        <v>#VALUE!</v>
      </c>
      <c r="IN1" t="e">
        <f>AND('zwei Datensätze'!R11,"AAAAAFvf9/c=")</f>
        <v>#VALUE!</v>
      </c>
      <c r="IO1" t="e">
        <f>AND('zwei Datensätze'!S11,"AAAAAFvf9/g=")</f>
        <v>#VALUE!</v>
      </c>
      <c r="IP1" t="e">
        <f>AND('zwei Datensätze'!T11,"AAAAAFvf9/k=")</f>
        <v>#VALUE!</v>
      </c>
      <c r="IQ1" t="e">
        <f>AND('zwei Datensätze'!U11,"AAAAAFvf9/o=")</f>
        <v>#VALUE!</v>
      </c>
      <c r="IR1" t="e">
        <f>AND('zwei Datensätze'!V11,"AAAAAFvf9/s=")</f>
        <v>#VALUE!</v>
      </c>
      <c r="IS1" t="e">
        <f>AND('zwei Datensätze'!W11,"AAAAAFvf9/w=")</f>
        <v>#VALUE!</v>
      </c>
      <c r="IT1">
        <f>IF('zwei Datensätze'!12:12,"AAAAAFvf9/0=",0)</f>
        <v>0</v>
      </c>
      <c r="IU1" t="e">
        <f>AND('zwei Datensätze'!B12,"AAAAAFvf9/4=")</f>
        <v>#VALUE!</v>
      </c>
      <c r="IV1" t="e">
        <f>AND('zwei Datensätze'!C12,"AAAAAFvf9/8=")</f>
        <v>#VALUE!</v>
      </c>
    </row>
    <row r="2" spans="1:256" x14ac:dyDescent="0.25">
      <c r="A2" t="e">
        <f>AND('zwei Datensätze'!D12,"AAAAAD/XeQA=")</f>
        <v>#VALUE!</v>
      </c>
      <c r="B2" t="e">
        <f>AND('zwei Datensätze'!E12,"AAAAAD/XeQE=")</f>
        <v>#VALUE!</v>
      </c>
      <c r="C2" t="e">
        <f>AND('zwei Datensätze'!F12,"AAAAAD/XeQI=")</f>
        <v>#VALUE!</v>
      </c>
      <c r="D2" t="e">
        <f>AND('zwei Datensätze'!G12,"AAAAAD/XeQM=")</f>
        <v>#VALUE!</v>
      </c>
      <c r="E2" t="e">
        <f>AND('zwei Datensätze'!H12,"AAAAAD/XeQQ=")</f>
        <v>#VALUE!</v>
      </c>
      <c r="F2" t="e">
        <f>AND('zwei Datensätze'!I12,"AAAAAD/XeQU=")</f>
        <v>#VALUE!</v>
      </c>
      <c r="G2" t="e">
        <f>AND('zwei Datensätze'!J12,"AAAAAD/XeQY=")</f>
        <v>#VALUE!</v>
      </c>
      <c r="H2" t="e">
        <f>AND('zwei Datensätze'!K12,"AAAAAD/XeQc=")</f>
        <v>#VALUE!</v>
      </c>
      <c r="I2" t="e">
        <f>AND('zwei Datensätze'!L12,"AAAAAD/XeQg=")</f>
        <v>#VALUE!</v>
      </c>
      <c r="J2" t="e">
        <f>AND('zwei Datensätze'!M12,"AAAAAD/XeQk=")</f>
        <v>#VALUE!</v>
      </c>
      <c r="K2" t="e">
        <f>AND('zwei Datensätze'!N12,"AAAAAD/XeQo=")</f>
        <v>#VALUE!</v>
      </c>
      <c r="L2" t="e">
        <f>AND('zwei Datensätze'!O12,"AAAAAD/XeQs=")</f>
        <v>#VALUE!</v>
      </c>
      <c r="M2" t="e">
        <f>AND('zwei Datensätze'!P12,"AAAAAD/XeQw=")</f>
        <v>#VALUE!</v>
      </c>
      <c r="N2" t="e">
        <f>AND('zwei Datensätze'!Q12,"AAAAAD/XeQ0=")</f>
        <v>#VALUE!</v>
      </c>
      <c r="O2" t="e">
        <f>AND('zwei Datensätze'!R12,"AAAAAD/XeQ4=")</f>
        <v>#VALUE!</v>
      </c>
      <c r="P2" t="e">
        <f>AND('zwei Datensätze'!S12,"AAAAAD/XeQ8=")</f>
        <v>#VALUE!</v>
      </c>
      <c r="Q2" t="e">
        <f>AND('zwei Datensätze'!T12,"AAAAAD/XeRA=")</f>
        <v>#VALUE!</v>
      </c>
      <c r="R2" t="e">
        <f>AND('zwei Datensätze'!U12,"AAAAAD/XeRE=")</f>
        <v>#VALUE!</v>
      </c>
      <c r="S2" t="e">
        <f>AND('zwei Datensätze'!V12,"AAAAAD/XeRI=")</f>
        <v>#VALUE!</v>
      </c>
      <c r="T2" t="e">
        <f>AND('zwei Datensätze'!W12,"AAAAAD/XeRM=")</f>
        <v>#VALUE!</v>
      </c>
      <c r="U2">
        <f>IF('zwei Datensätze'!13:13,"AAAAAD/XeRQ=",0)</f>
        <v>0</v>
      </c>
      <c r="V2" t="e">
        <f>AND('zwei Datensätze'!B13,"AAAAAD/XeRU=")</f>
        <v>#VALUE!</v>
      </c>
      <c r="W2" t="e">
        <f>AND('zwei Datensätze'!C13,"AAAAAD/XeRY=")</f>
        <v>#VALUE!</v>
      </c>
      <c r="X2" t="e">
        <f>AND('zwei Datensätze'!D13,"AAAAAD/XeRc=")</f>
        <v>#VALUE!</v>
      </c>
      <c r="Y2" t="e">
        <f>AND('zwei Datensätze'!E13,"AAAAAD/XeRg=")</f>
        <v>#VALUE!</v>
      </c>
      <c r="Z2" t="e">
        <f>AND('zwei Datensätze'!F13,"AAAAAD/XeRk=")</f>
        <v>#VALUE!</v>
      </c>
      <c r="AA2" t="e">
        <f>AND('zwei Datensätze'!G13,"AAAAAD/XeRo=")</f>
        <v>#VALUE!</v>
      </c>
      <c r="AB2" t="e">
        <f>AND('zwei Datensätze'!H13,"AAAAAD/XeRs=")</f>
        <v>#VALUE!</v>
      </c>
      <c r="AC2" t="e">
        <f>AND('zwei Datensätze'!I13,"AAAAAD/XeRw=")</f>
        <v>#VALUE!</v>
      </c>
      <c r="AD2" t="e">
        <f>AND('zwei Datensätze'!J13,"AAAAAD/XeR0=")</f>
        <v>#VALUE!</v>
      </c>
      <c r="AE2" t="e">
        <f>AND('zwei Datensätze'!K13,"AAAAAD/XeR4=")</f>
        <v>#VALUE!</v>
      </c>
      <c r="AF2" t="e">
        <f>AND('zwei Datensätze'!L13,"AAAAAD/XeR8=")</f>
        <v>#VALUE!</v>
      </c>
      <c r="AG2" t="e">
        <f>AND('zwei Datensätze'!M13,"AAAAAD/XeSA=")</f>
        <v>#VALUE!</v>
      </c>
      <c r="AH2" t="e">
        <f>AND('zwei Datensätze'!N13,"AAAAAD/XeSE=")</f>
        <v>#VALUE!</v>
      </c>
      <c r="AI2" t="e">
        <f>AND('zwei Datensätze'!O13,"AAAAAD/XeSI=")</f>
        <v>#VALUE!</v>
      </c>
      <c r="AJ2" t="e">
        <f>AND('zwei Datensätze'!P13,"AAAAAD/XeSM=")</f>
        <v>#VALUE!</v>
      </c>
      <c r="AK2" t="e">
        <f>AND('zwei Datensätze'!Q13,"AAAAAD/XeSQ=")</f>
        <v>#VALUE!</v>
      </c>
      <c r="AL2" t="e">
        <f>AND('zwei Datensätze'!R13,"AAAAAD/XeSU=")</f>
        <v>#VALUE!</v>
      </c>
      <c r="AM2" t="e">
        <f>AND('zwei Datensätze'!S13,"AAAAAD/XeSY=")</f>
        <v>#VALUE!</v>
      </c>
      <c r="AN2" t="e">
        <f>AND('zwei Datensätze'!T13,"AAAAAD/XeSc=")</f>
        <v>#VALUE!</v>
      </c>
      <c r="AO2" t="e">
        <f>AND('zwei Datensätze'!U13,"AAAAAD/XeSg=")</f>
        <v>#VALUE!</v>
      </c>
      <c r="AP2" t="e">
        <f>AND('zwei Datensätze'!V13,"AAAAAD/XeSk=")</f>
        <v>#VALUE!</v>
      </c>
      <c r="AQ2" t="e">
        <f>AND('zwei Datensätze'!W13,"AAAAAD/XeSo=")</f>
        <v>#VALUE!</v>
      </c>
      <c r="AR2">
        <f>IF('zwei Datensätze'!14:14,"AAAAAD/XeSs=",0)</f>
        <v>0</v>
      </c>
      <c r="AS2" t="e">
        <f>AND('zwei Datensätze'!B14,"AAAAAD/XeSw=")</f>
        <v>#VALUE!</v>
      </c>
      <c r="AT2" t="e">
        <f>AND('zwei Datensätze'!C14,"AAAAAD/XeS0=")</f>
        <v>#VALUE!</v>
      </c>
      <c r="AU2" t="e">
        <f>AND('zwei Datensätze'!D14,"AAAAAD/XeS4=")</f>
        <v>#VALUE!</v>
      </c>
      <c r="AV2" t="e">
        <f>AND('zwei Datensätze'!E14,"AAAAAD/XeS8=")</f>
        <v>#VALUE!</v>
      </c>
      <c r="AW2" t="e">
        <f>AND('zwei Datensätze'!F14,"AAAAAD/XeTA=")</f>
        <v>#VALUE!</v>
      </c>
      <c r="AX2" t="e">
        <f>AND('zwei Datensätze'!G14,"AAAAAD/XeTE=")</f>
        <v>#VALUE!</v>
      </c>
      <c r="AY2" t="e">
        <f>AND('zwei Datensätze'!H14,"AAAAAD/XeTI=")</f>
        <v>#VALUE!</v>
      </c>
      <c r="AZ2" t="e">
        <f>AND('zwei Datensätze'!I14,"AAAAAD/XeTM=")</f>
        <v>#VALUE!</v>
      </c>
      <c r="BA2" t="e">
        <f>AND('zwei Datensätze'!J14,"AAAAAD/XeTQ=")</f>
        <v>#VALUE!</v>
      </c>
      <c r="BB2" t="e">
        <f>AND('zwei Datensätze'!K14,"AAAAAD/XeTU=")</f>
        <v>#VALUE!</v>
      </c>
      <c r="BC2" t="e">
        <f>AND('zwei Datensätze'!L14,"AAAAAD/XeTY=")</f>
        <v>#VALUE!</v>
      </c>
      <c r="BD2" t="e">
        <f>AND('zwei Datensätze'!M14,"AAAAAD/XeTc=")</f>
        <v>#VALUE!</v>
      </c>
      <c r="BE2" t="e">
        <f>AND('zwei Datensätze'!N14,"AAAAAD/XeTg=")</f>
        <v>#VALUE!</v>
      </c>
      <c r="BF2" t="e">
        <f>AND('zwei Datensätze'!O14,"AAAAAD/XeTk=")</f>
        <v>#VALUE!</v>
      </c>
      <c r="BG2" t="e">
        <f>AND('zwei Datensätze'!P14,"AAAAAD/XeTo=")</f>
        <v>#VALUE!</v>
      </c>
      <c r="BH2" t="e">
        <f>AND('zwei Datensätze'!Q14,"AAAAAD/XeTs=")</f>
        <v>#VALUE!</v>
      </c>
      <c r="BI2" t="e">
        <f>AND('zwei Datensätze'!R14,"AAAAAD/XeTw=")</f>
        <v>#VALUE!</v>
      </c>
      <c r="BJ2" t="e">
        <f>AND('zwei Datensätze'!S14,"AAAAAD/XeT0=")</f>
        <v>#VALUE!</v>
      </c>
      <c r="BK2" t="e">
        <f>AND('zwei Datensätze'!T14,"AAAAAD/XeT4=")</f>
        <v>#VALUE!</v>
      </c>
      <c r="BL2" t="e">
        <f>AND('zwei Datensätze'!U14,"AAAAAD/XeT8=")</f>
        <v>#VALUE!</v>
      </c>
      <c r="BM2" t="e">
        <f>AND('zwei Datensätze'!V14,"AAAAAD/XeUA=")</f>
        <v>#VALUE!</v>
      </c>
      <c r="BN2" t="e">
        <f>AND('zwei Datensätze'!W14,"AAAAAD/XeUE=")</f>
        <v>#VALUE!</v>
      </c>
      <c r="BO2">
        <f>IF('zwei Datensätze'!15:15,"AAAAAD/XeUI=",0)</f>
        <v>0</v>
      </c>
      <c r="BP2" t="e">
        <f>AND('zwei Datensätze'!B15,"AAAAAD/XeUM=")</f>
        <v>#VALUE!</v>
      </c>
      <c r="BQ2" t="e">
        <f>AND('zwei Datensätze'!C15,"AAAAAD/XeUQ=")</f>
        <v>#VALUE!</v>
      </c>
      <c r="BR2" t="e">
        <f>AND('zwei Datensätze'!D15,"AAAAAD/XeUU=")</f>
        <v>#VALUE!</v>
      </c>
      <c r="BS2" t="e">
        <f>AND('zwei Datensätze'!E15,"AAAAAD/XeUY=")</f>
        <v>#VALUE!</v>
      </c>
      <c r="BT2" t="e">
        <f>AND('zwei Datensätze'!F15,"AAAAAD/XeUc=")</f>
        <v>#VALUE!</v>
      </c>
      <c r="BU2" t="e">
        <f>AND('zwei Datensätze'!G15,"AAAAAD/XeUg=")</f>
        <v>#VALUE!</v>
      </c>
      <c r="BV2" t="e">
        <f>AND('zwei Datensätze'!H15,"AAAAAD/XeUk=")</f>
        <v>#VALUE!</v>
      </c>
      <c r="BW2" t="e">
        <f>AND('zwei Datensätze'!I15,"AAAAAD/XeUo=")</f>
        <v>#VALUE!</v>
      </c>
      <c r="BX2" t="e">
        <f>AND('zwei Datensätze'!J15,"AAAAAD/XeUs=")</f>
        <v>#VALUE!</v>
      </c>
      <c r="BY2" t="e">
        <f>AND('zwei Datensätze'!K15,"AAAAAD/XeUw=")</f>
        <v>#VALUE!</v>
      </c>
      <c r="BZ2" t="e">
        <f>AND('zwei Datensätze'!L15,"AAAAAD/XeU0=")</f>
        <v>#VALUE!</v>
      </c>
      <c r="CA2" t="e">
        <f>AND('zwei Datensätze'!M15,"AAAAAD/XeU4=")</f>
        <v>#VALUE!</v>
      </c>
      <c r="CB2" t="e">
        <f>AND('zwei Datensätze'!N15,"AAAAAD/XeU8=")</f>
        <v>#VALUE!</v>
      </c>
      <c r="CC2" t="e">
        <f>AND('zwei Datensätze'!O15,"AAAAAD/XeVA=")</f>
        <v>#VALUE!</v>
      </c>
      <c r="CD2" t="e">
        <f>AND('zwei Datensätze'!P15,"AAAAAD/XeVE=")</f>
        <v>#VALUE!</v>
      </c>
      <c r="CE2" t="e">
        <f>AND('zwei Datensätze'!Q15,"AAAAAD/XeVI=")</f>
        <v>#VALUE!</v>
      </c>
      <c r="CF2" t="e">
        <f>AND('zwei Datensätze'!R15,"AAAAAD/XeVM=")</f>
        <v>#VALUE!</v>
      </c>
      <c r="CG2" t="e">
        <f>AND('zwei Datensätze'!S15,"AAAAAD/XeVQ=")</f>
        <v>#VALUE!</v>
      </c>
      <c r="CH2" t="e">
        <f>AND('zwei Datensätze'!T15,"AAAAAD/XeVU=")</f>
        <v>#VALUE!</v>
      </c>
      <c r="CI2" t="e">
        <f>AND('zwei Datensätze'!U15,"AAAAAD/XeVY=")</f>
        <v>#VALUE!</v>
      </c>
      <c r="CJ2" t="e">
        <f>AND('zwei Datensätze'!V15,"AAAAAD/XeVc=")</f>
        <v>#VALUE!</v>
      </c>
      <c r="CK2" t="e">
        <f>AND('zwei Datensätze'!W15,"AAAAAD/XeVg=")</f>
        <v>#VALUE!</v>
      </c>
      <c r="CL2">
        <f>IF('zwei Datensätze'!16:16,"AAAAAD/XeVk=",0)</f>
        <v>0</v>
      </c>
      <c r="CM2" t="e">
        <f>AND('zwei Datensätze'!B16,"AAAAAD/XeVo=")</f>
        <v>#VALUE!</v>
      </c>
      <c r="CN2" t="e">
        <f>AND('zwei Datensätze'!C16,"AAAAAD/XeVs=")</f>
        <v>#VALUE!</v>
      </c>
      <c r="CO2" t="e">
        <f>AND('zwei Datensätze'!D16,"AAAAAD/XeVw=")</f>
        <v>#VALUE!</v>
      </c>
      <c r="CP2" t="e">
        <f>AND('zwei Datensätze'!E16,"AAAAAD/XeV0=")</f>
        <v>#VALUE!</v>
      </c>
      <c r="CQ2" t="e">
        <f>AND('zwei Datensätze'!F16,"AAAAAD/XeV4=")</f>
        <v>#VALUE!</v>
      </c>
      <c r="CR2" t="e">
        <f>AND('zwei Datensätze'!G16,"AAAAAD/XeV8=")</f>
        <v>#VALUE!</v>
      </c>
      <c r="CS2" t="e">
        <f>AND('zwei Datensätze'!H16,"AAAAAD/XeWA=")</f>
        <v>#VALUE!</v>
      </c>
      <c r="CT2" t="e">
        <f>AND('zwei Datensätze'!I16,"AAAAAD/XeWE=")</f>
        <v>#VALUE!</v>
      </c>
      <c r="CU2" t="e">
        <f>AND('zwei Datensätze'!J16,"AAAAAD/XeWI=")</f>
        <v>#VALUE!</v>
      </c>
      <c r="CV2" t="e">
        <f>AND('zwei Datensätze'!K16,"AAAAAD/XeWM=")</f>
        <v>#VALUE!</v>
      </c>
      <c r="CW2" t="e">
        <f>AND('zwei Datensätze'!L16,"AAAAAD/XeWQ=")</f>
        <v>#VALUE!</v>
      </c>
      <c r="CX2" t="e">
        <f>AND('zwei Datensätze'!M16,"AAAAAD/XeWU=")</f>
        <v>#VALUE!</v>
      </c>
      <c r="CY2" t="e">
        <f>AND('zwei Datensätze'!N16,"AAAAAD/XeWY=")</f>
        <v>#VALUE!</v>
      </c>
      <c r="CZ2" t="e">
        <f>AND('zwei Datensätze'!O16,"AAAAAD/XeWc=")</f>
        <v>#VALUE!</v>
      </c>
      <c r="DA2" t="e">
        <f>AND('zwei Datensätze'!P16,"AAAAAD/XeWg=")</f>
        <v>#VALUE!</v>
      </c>
      <c r="DB2" t="e">
        <f>AND('zwei Datensätze'!Q16,"AAAAAD/XeWk=")</f>
        <v>#VALUE!</v>
      </c>
      <c r="DC2" t="e">
        <f>AND('zwei Datensätze'!R16,"AAAAAD/XeWo=")</f>
        <v>#VALUE!</v>
      </c>
      <c r="DD2" t="e">
        <f>AND('zwei Datensätze'!S16,"AAAAAD/XeWs=")</f>
        <v>#VALUE!</v>
      </c>
      <c r="DE2" t="e">
        <f>AND('zwei Datensätze'!T16,"AAAAAD/XeWw=")</f>
        <v>#VALUE!</v>
      </c>
      <c r="DF2" t="e">
        <f>AND('zwei Datensätze'!U16,"AAAAAD/XeW0=")</f>
        <v>#VALUE!</v>
      </c>
      <c r="DG2" t="e">
        <f>AND('zwei Datensätze'!V16,"AAAAAD/XeW4=")</f>
        <v>#VALUE!</v>
      </c>
      <c r="DH2" t="e">
        <f>AND('zwei Datensätze'!W16,"AAAAAD/XeW8=")</f>
        <v>#VALUE!</v>
      </c>
      <c r="DI2">
        <f>IF('zwei Datensätze'!17:17,"AAAAAD/XeXA=",0)</f>
        <v>0</v>
      </c>
      <c r="DJ2" t="e">
        <f>AND('zwei Datensätze'!B17,"AAAAAD/XeXE=")</f>
        <v>#VALUE!</v>
      </c>
      <c r="DK2" t="e">
        <f>AND('zwei Datensätze'!C17,"AAAAAD/XeXI=")</f>
        <v>#VALUE!</v>
      </c>
      <c r="DL2" t="e">
        <f>AND('zwei Datensätze'!D17,"AAAAAD/XeXM=")</f>
        <v>#VALUE!</v>
      </c>
      <c r="DM2" t="e">
        <f>AND('zwei Datensätze'!E17,"AAAAAD/XeXQ=")</f>
        <v>#VALUE!</v>
      </c>
      <c r="DN2" t="e">
        <f>AND('zwei Datensätze'!F17,"AAAAAD/XeXU=")</f>
        <v>#VALUE!</v>
      </c>
      <c r="DO2" t="e">
        <f>AND('zwei Datensätze'!G17,"AAAAAD/XeXY=")</f>
        <v>#VALUE!</v>
      </c>
      <c r="DP2" t="e">
        <f>AND('zwei Datensätze'!H17,"AAAAAD/XeXc=")</f>
        <v>#VALUE!</v>
      </c>
      <c r="DQ2" t="e">
        <f>AND('zwei Datensätze'!I17,"AAAAAD/XeXg=")</f>
        <v>#VALUE!</v>
      </c>
      <c r="DR2" t="e">
        <f>AND('zwei Datensätze'!J17,"AAAAAD/XeXk=")</f>
        <v>#VALUE!</v>
      </c>
      <c r="DS2" t="e">
        <f>AND('zwei Datensätze'!K17,"AAAAAD/XeXo=")</f>
        <v>#VALUE!</v>
      </c>
      <c r="DT2" t="e">
        <f>AND('zwei Datensätze'!L17,"AAAAAD/XeXs=")</f>
        <v>#VALUE!</v>
      </c>
      <c r="DU2" t="e">
        <f>AND('zwei Datensätze'!M17,"AAAAAD/XeXw=")</f>
        <v>#VALUE!</v>
      </c>
      <c r="DV2" t="e">
        <f>AND('zwei Datensätze'!N17,"AAAAAD/XeX0=")</f>
        <v>#VALUE!</v>
      </c>
      <c r="DW2" t="e">
        <f>AND('zwei Datensätze'!O17,"AAAAAD/XeX4=")</f>
        <v>#VALUE!</v>
      </c>
      <c r="DX2" t="e">
        <f>AND('zwei Datensätze'!P17,"AAAAAD/XeX8=")</f>
        <v>#VALUE!</v>
      </c>
      <c r="DY2" t="e">
        <f>AND('zwei Datensätze'!Q17,"AAAAAD/XeYA=")</f>
        <v>#VALUE!</v>
      </c>
      <c r="DZ2" t="e">
        <f>AND('zwei Datensätze'!R17,"AAAAAD/XeYE=")</f>
        <v>#VALUE!</v>
      </c>
      <c r="EA2" t="e">
        <f>AND('zwei Datensätze'!S17,"AAAAAD/XeYI=")</f>
        <v>#VALUE!</v>
      </c>
      <c r="EB2" t="e">
        <f>AND('zwei Datensätze'!T17,"AAAAAD/XeYM=")</f>
        <v>#VALUE!</v>
      </c>
      <c r="EC2" t="e">
        <f>AND('zwei Datensätze'!U17,"AAAAAD/XeYQ=")</f>
        <v>#VALUE!</v>
      </c>
      <c r="ED2" t="e">
        <f>AND('zwei Datensätze'!V17,"AAAAAD/XeYU=")</f>
        <v>#VALUE!</v>
      </c>
      <c r="EE2" t="e">
        <f>AND('zwei Datensätze'!W17,"AAAAAD/XeYY=")</f>
        <v>#VALUE!</v>
      </c>
      <c r="EF2">
        <f>IF('zwei Datensätze'!18:18,"AAAAAD/XeYc=",0)</f>
        <v>0</v>
      </c>
      <c r="EG2" t="e">
        <f>AND('zwei Datensätze'!B18,"AAAAAD/XeYg=")</f>
        <v>#VALUE!</v>
      </c>
      <c r="EH2" t="e">
        <f>AND('zwei Datensätze'!C18,"AAAAAD/XeYk=")</f>
        <v>#VALUE!</v>
      </c>
      <c r="EI2" t="e">
        <f>AND('zwei Datensätze'!D18,"AAAAAD/XeYo=")</f>
        <v>#VALUE!</v>
      </c>
      <c r="EJ2" t="e">
        <f>AND('zwei Datensätze'!E18,"AAAAAD/XeYs=")</f>
        <v>#VALUE!</v>
      </c>
      <c r="EK2" t="e">
        <f>AND('zwei Datensätze'!F18,"AAAAAD/XeYw=")</f>
        <v>#VALUE!</v>
      </c>
      <c r="EL2" t="e">
        <f>AND('zwei Datensätze'!G18,"AAAAAD/XeY0=")</f>
        <v>#VALUE!</v>
      </c>
      <c r="EM2" t="e">
        <f>AND('zwei Datensätze'!H18,"AAAAAD/XeY4=")</f>
        <v>#VALUE!</v>
      </c>
      <c r="EN2" t="e">
        <f>AND('zwei Datensätze'!I18,"AAAAAD/XeY8=")</f>
        <v>#VALUE!</v>
      </c>
      <c r="EO2" t="e">
        <f>AND('zwei Datensätze'!J18,"AAAAAD/XeZA=")</f>
        <v>#VALUE!</v>
      </c>
      <c r="EP2" t="e">
        <f>AND('zwei Datensätze'!K18,"AAAAAD/XeZE=")</f>
        <v>#VALUE!</v>
      </c>
      <c r="EQ2" t="e">
        <f>AND('zwei Datensätze'!L18,"AAAAAD/XeZI=")</f>
        <v>#VALUE!</v>
      </c>
      <c r="ER2" t="e">
        <f>AND('zwei Datensätze'!M18,"AAAAAD/XeZM=")</f>
        <v>#VALUE!</v>
      </c>
      <c r="ES2" t="e">
        <f>AND('zwei Datensätze'!N18,"AAAAAD/XeZQ=")</f>
        <v>#VALUE!</v>
      </c>
      <c r="ET2" t="e">
        <f>AND('zwei Datensätze'!O18,"AAAAAD/XeZU=")</f>
        <v>#VALUE!</v>
      </c>
      <c r="EU2" t="e">
        <f>AND('zwei Datensätze'!P18,"AAAAAD/XeZY=")</f>
        <v>#VALUE!</v>
      </c>
      <c r="EV2" t="e">
        <f>AND('zwei Datensätze'!Q18,"AAAAAD/XeZc=")</f>
        <v>#VALUE!</v>
      </c>
      <c r="EW2" t="e">
        <f>AND('zwei Datensätze'!R18,"AAAAAD/XeZg=")</f>
        <v>#VALUE!</v>
      </c>
      <c r="EX2" t="e">
        <f>AND('zwei Datensätze'!S18,"AAAAAD/XeZk=")</f>
        <v>#VALUE!</v>
      </c>
      <c r="EY2" t="e">
        <f>AND('zwei Datensätze'!T18,"AAAAAD/XeZo=")</f>
        <v>#VALUE!</v>
      </c>
      <c r="EZ2" t="e">
        <f>AND('zwei Datensätze'!U18,"AAAAAD/XeZs=")</f>
        <v>#VALUE!</v>
      </c>
      <c r="FA2" t="e">
        <f>AND('zwei Datensätze'!V18,"AAAAAD/XeZw=")</f>
        <v>#VALUE!</v>
      </c>
      <c r="FB2" t="e">
        <f>AND('zwei Datensätze'!W18,"AAAAAD/XeZ0=")</f>
        <v>#VALUE!</v>
      </c>
      <c r="FC2">
        <f>IF('zwei Datensätze'!19:19,"AAAAAD/XeZ4=",0)</f>
        <v>0</v>
      </c>
      <c r="FD2" t="e">
        <f>AND('zwei Datensätze'!B19,"AAAAAD/XeZ8=")</f>
        <v>#VALUE!</v>
      </c>
      <c r="FE2" t="e">
        <f>AND('zwei Datensätze'!C19,"AAAAAD/XeaA=")</f>
        <v>#VALUE!</v>
      </c>
      <c r="FF2" t="e">
        <f>AND('zwei Datensätze'!D19,"AAAAAD/XeaE=")</f>
        <v>#VALUE!</v>
      </c>
      <c r="FG2" t="e">
        <f>AND('zwei Datensätze'!E19,"AAAAAD/XeaI=")</f>
        <v>#VALUE!</v>
      </c>
      <c r="FH2" t="e">
        <f>AND('zwei Datensätze'!F19,"AAAAAD/XeaM=")</f>
        <v>#VALUE!</v>
      </c>
      <c r="FI2" t="e">
        <f>AND('zwei Datensätze'!G19,"AAAAAD/XeaQ=")</f>
        <v>#VALUE!</v>
      </c>
      <c r="FJ2" t="e">
        <f>AND('zwei Datensätze'!H19,"AAAAAD/XeaU=")</f>
        <v>#VALUE!</v>
      </c>
      <c r="FK2" t="e">
        <f>AND('zwei Datensätze'!I19,"AAAAAD/XeaY=")</f>
        <v>#VALUE!</v>
      </c>
      <c r="FL2" t="e">
        <f>AND('zwei Datensätze'!J19,"AAAAAD/Xeac=")</f>
        <v>#VALUE!</v>
      </c>
      <c r="FM2" t="e">
        <f>AND('zwei Datensätze'!K19,"AAAAAD/Xeag=")</f>
        <v>#VALUE!</v>
      </c>
      <c r="FN2" t="e">
        <f>AND('zwei Datensätze'!L19,"AAAAAD/Xeak=")</f>
        <v>#VALUE!</v>
      </c>
      <c r="FO2" t="e">
        <f>AND('zwei Datensätze'!M19,"AAAAAD/Xeao=")</f>
        <v>#VALUE!</v>
      </c>
      <c r="FP2" t="e">
        <f>AND('zwei Datensätze'!N19,"AAAAAD/Xeas=")</f>
        <v>#VALUE!</v>
      </c>
      <c r="FQ2" t="e">
        <f>AND('zwei Datensätze'!O19,"AAAAAD/Xeaw=")</f>
        <v>#VALUE!</v>
      </c>
      <c r="FR2" t="e">
        <f>AND('zwei Datensätze'!P19,"AAAAAD/Xea0=")</f>
        <v>#VALUE!</v>
      </c>
      <c r="FS2" t="e">
        <f>AND('zwei Datensätze'!Q19,"AAAAAD/Xea4=")</f>
        <v>#VALUE!</v>
      </c>
      <c r="FT2" t="e">
        <f>AND('zwei Datensätze'!R19,"AAAAAD/Xea8=")</f>
        <v>#VALUE!</v>
      </c>
      <c r="FU2" t="e">
        <f>AND('zwei Datensätze'!S19,"AAAAAD/XebA=")</f>
        <v>#VALUE!</v>
      </c>
      <c r="FV2" t="e">
        <f>AND('zwei Datensätze'!T19,"AAAAAD/XebE=")</f>
        <v>#VALUE!</v>
      </c>
      <c r="FW2" t="e">
        <f>AND('zwei Datensätze'!U19,"AAAAAD/XebI=")</f>
        <v>#VALUE!</v>
      </c>
      <c r="FX2" t="e">
        <f>AND('zwei Datensätze'!V19,"AAAAAD/XebM=")</f>
        <v>#VALUE!</v>
      </c>
      <c r="FY2" t="e">
        <f>AND('zwei Datensätze'!W19,"AAAAAD/XebQ=")</f>
        <v>#VALUE!</v>
      </c>
      <c r="FZ2">
        <f>IF('zwei Datensätze'!20:20,"AAAAAD/XebU=",0)</f>
        <v>0</v>
      </c>
      <c r="GA2" t="e">
        <f>AND('zwei Datensätze'!B20,"AAAAAD/XebY=")</f>
        <v>#VALUE!</v>
      </c>
      <c r="GB2" t="e">
        <f>AND('zwei Datensätze'!C20,"AAAAAD/Xebc=")</f>
        <v>#VALUE!</v>
      </c>
      <c r="GC2" t="e">
        <f>AND('zwei Datensätze'!D20,"AAAAAD/Xebg=")</f>
        <v>#VALUE!</v>
      </c>
      <c r="GD2" t="e">
        <f>AND('zwei Datensätze'!E20,"AAAAAD/Xebk=")</f>
        <v>#VALUE!</v>
      </c>
      <c r="GE2" t="e">
        <f>AND('zwei Datensätze'!F20,"AAAAAD/Xebo=")</f>
        <v>#VALUE!</v>
      </c>
      <c r="GF2" t="e">
        <f>AND('zwei Datensätze'!G20,"AAAAAD/Xebs=")</f>
        <v>#VALUE!</v>
      </c>
      <c r="GG2" t="e">
        <f>AND('zwei Datensätze'!H20,"AAAAAD/Xebw=")</f>
        <v>#VALUE!</v>
      </c>
      <c r="GH2" t="e">
        <f>AND('zwei Datensätze'!I20,"AAAAAD/Xeb0=")</f>
        <v>#VALUE!</v>
      </c>
      <c r="GI2" t="e">
        <f>AND('zwei Datensätze'!J20,"AAAAAD/Xeb4=")</f>
        <v>#VALUE!</v>
      </c>
      <c r="GJ2" t="e">
        <f>AND('zwei Datensätze'!K20,"AAAAAD/Xeb8=")</f>
        <v>#VALUE!</v>
      </c>
      <c r="GK2" t="e">
        <f>AND('zwei Datensätze'!L20,"AAAAAD/XecA=")</f>
        <v>#VALUE!</v>
      </c>
      <c r="GL2" t="e">
        <f>AND('zwei Datensätze'!M20,"AAAAAD/XecE=")</f>
        <v>#VALUE!</v>
      </c>
      <c r="GM2" t="e">
        <f>AND('zwei Datensätze'!N20,"AAAAAD/XecI=")</f>
        <v>#VALUE!</v>
      </c>
      <c r="GN2" t="e">
        <f>AND('zwei Datensätze'!O20,"AAAAAD/XecM=")</f>
        <v>#VALUE!</v>
      </c>
      <c r="GO2" t="e">
        <f>AND('zwei Datensätze'!P20,"AAAAAD/XecQ=")</f>
        <v>#VALUE!</v>
      </c>
      <c r="GP2" t="e">
        <f>AND('zwei Datensätze'!Q20,"AAAAAD/XecU=")</f>
        <v>#VALUE!</v>
      </c>
      <c r="GQ2" t="e">
        <f>AND('zwei Datensätze'!R20,"AAAAAD/XecY=")</f>
        <v>#VALUE!</v>
      </c>
      <c r="GR2" t="e">
        <f>AND('zwei Datensätze'!S20,"AAAAAD/Xecc=")</f>
        <v>#VALUE!</v>
      </c>
      <c r="GS2" t="e">
        <f>AND('zwei Datensätze'!T20,"AAAAAD/Xecg=")</f>
        <v>#VALUE!</v>
      </c>
      <c r="GT2" t="e">
        <f>AND('zwei Datensätze'!U20,"AAAAAD/Xeck=")</f>
        <v>#VALUE!</v>
      </c>
      <c r="GU2" t="e">
        <f>AND('zwei Datensätze'!V20,"AAAAAD/Xeco=")</f>
        <v>#VALUE!</v>
      </c>
      <c r="GV2" t="e">
        <f>AND('zwei Datensätze'!W20,"AAAAAD/Xecs=")</f>
        <v>#VALUE!</v>
      </c>
      <c r="GW2">
        <f>IF('zwei Datensätze'!21:21,"AAAAAD/Xecw=",0)</f>
        <v>0</v>
      </c>
      <c r="GX2" t="e">
        <f>AND('zwei Datensätze'!B21,"AAAAAD/Xec0=")</f>
        <v>#VALUE!</v>
      </c>
      <c r="GY2" t="e">
        <f>AND('zwei Datensätze'!C21,"AAAAAD/Xec4=")</f>
        <v>#VALUE!</v>
      </c>
      <c r="GZ2" t="e">
        <f>AND('zwei Datensätze'!D21,"AAAAAD/Xec8=")</f>
        <v>#VALUE!</v>
      </c>
      <c r="HA2" t="e">
        <f>AND('zwei Datensätze'!E21,"AAAAAD/XedA=")</f>
        <v>#VALUE!</v>
      </c>
      <c r="HB2" t="e">
        <f>AND('zwei Datensätze'!F21,"AAAAAD/XedE=")</f>
        <v>#VALUE!</v>
      </c>
      <c r="HC2" t="e">
        <f>AND('zwei Datensätze'!G21,"AAAAAD/XedI=")</f>
        <v>#VALUE!</v>
      </c>
      <c r="HD2" t="e">
        <f>AND('zwei Datensätze'!H21,"AAAAAD/XedM=")</f>
        <v>#VALUE!</v>
      </c>
      <c r="HE2" t="e">
        <f>AND('zwei Datensätze'!I21,"AAAAAD/XedQ=")</f>
        <v>#VALUE!</v>
      </c>
      <c r="HF2" t="e">
        <f>AND('zwei Datensätze'!J21,"AAAAAD/XedU=")</f>
        <v>#VALUE!</v>
      </c>
      <c r="HG2" t="e">
        <f>AND('zwei Datensätze'!K21,"AAAAAD/XedY=")</f>
        <v>#VALUE!</v>
      </c>
      <c r="HH2" t="e">
        <f>AND('zwei Datensätze'!L21,"AAAAAD/Xedc=")</f>
        <v>#VALUE!</v>
      </c>
      <c r="HI2" t="e">
        <f>AND('zwei Datensätze'!M21,"AAAAAD/Xedg=")</f>
        <v>#VALUE!</v>
      </c>
      <c r="HJ2" t="e">
        <f>AND('zwei Datensätze'!N21,"AAAAAD/Xedk=")</f>
        <v>#VALUE!</v>
      </c>
      <c r="HK2" t="e">
        <f>AND('zwei Datensätze'!O21,"AAAAAD/Xedo=")</f>
        <v>#VALUE!</v>
      </c>
      <c r="HL2" t="e">
        <f>AND('zwei Datensätze'!P21,"AAAAAD/Xeds=")</f>
        <v>#VALUE!</v>
      </c>
      <c r="HM2" t="e">
        <f>AND('zwei Datensätze'!Q21,"AAAAAD/Xedw=")</f>
        <v>#VALUE!</v>
      </c>
      <c r="HN2" t="e">
        <f>AND('zwei Datensätze'!R21,"AAAAAD/Xed0=")</f>
        <v>#VALUE!</v>
      </c>
      <c r="HO2" t="e">
        <f>AND('zwei Datensätze'!S21,"AAAAAD/Xed4=")</f>
        <v>#VALUE!</v>
      </c>
      <c r="HP2" t="e">
        <f>AND('zwei Datensätze'!T21,"AAAAAD/Xed8=")</f>
        <v>#VALUE!</v>
      </c>
      <c r="HQ2" t="e">
        <f>AND('zwei Datensätze'!U21,"AAAAAD/XeeA=")</f>
        <v>#VALUE!</v>
      </c>
      <c r="HR2" t="e">
        <f>AND('zwei Datensätze'!V21,"AAAAAD/XeeE=")</f>
        <v>#VALUE!</v>
      </c>
      <c r="HS2" t="e">
        <f>AND('zwei Datensätze'!W21,"AAAAAD/XeeI=")</f>
        <v>#VALUE!</v>
      </c>
      <c r="HT2">
        <f>IF('zwei Datensätze'!22:22,"AAAAAD/XeeM=",0)</f>
        <v>0</v>
      </c>
      <c r="HU2" t="e">
        <f>AND('zwei Datensätze'!B22,"AAAAAD/XeeQ=")</f>
        <v>#VALUE!</v>
      </c>
      <c r="HV2" t="e">
        <f>AND('zwei Datensätze'!C22,"AAAAAD/XeeU=")</f>
        <v>#VALUE!</v>
      </c>
      <c r="HW2" t="e">
        <f>AND('zwei Datensätze'!D22,"AAAAAD/XeeY=")</f>
        <v>#VALUE!</v>
      </c>
      <c r="HX2" t="e">
        <f>AND('zwei Datensätze'!E22,"AAAAAD/Xeec=")</f>
        <v>#VALUE!</v>
      </c>
      <c r="HY2" t="e">
        <f>AND('zwei Datensätze'!F22,"AAAAAD/Xeeg=")</f>
        <v>#VALUE!</v>
      </c>
      <c r="HZ2" t="e">
        <f>AND('zwei Datensätze'!G22,"AAAAAD/Xeek=")</f>
        <v>#VALUE!</v>
      </c>
      <c r="IA2" t="e">
        <f>AND('zwei Datensätze'!H22,"AAAAAD/Xeeo=")</f>
        <v>#VALUE!</v>
      </c>
      <c r="IB2" t="e">
        <f>AND('zwei Datensätze'!I22,"AAAAAD/Xees=")</f>
        <v>#VALUE!</v>
      </c>
      <c r="IC2" t="e">
        <f>AND('zwei Datensätze'!J22,"AAAAAD/Xeew=")</f>
        <v>#VALUE!</v>
      </c>
      <c r="ID2" t="e">
        <f>AND('zwei Datensätze'!K22,"AAAAAD/Xee0=")</f>
        <v>#VALUE!</v>
      </c>
      <c r="IE2" t="e">
        <f>AND('zwei Datensätze'!L22,"AAAAAD/Xee4=")</f>
        <v>#VALUE!</v>
      </c>
      <c r="IF2" t="e">
        <f>AND('zwei Datensätze'!M22,"AAAAAD/Xee8=")</f>
        <v>#VALUE!</v>
      </c>
      <c r="IG2" t="e">
        <f>AND('zwei Datensätze'!N22,"AAAAAD/XefA=")</f>
        <v>#VALUE!</v>
      </c>
      <c r="IH2" t="e">
        <f>AND('zwei Datensätze'!O22,"AAAAAD/XefE=")</f>
        <v>#VALUE!</v>
      </c>
      <c r="II2" t="e">
        <f>AND('zwei Datensätze'!P22,"AAAAAD/XefI=")</f>
        <v>#VALUE!</v>
      </c>
      <c r="IJ2" t="e">
        <f>AND('zwei Datensätze'!Q22,"AAAAAD/XefM=")</f>
        <v>#VALUE!</v>
      </c>
      <c r="IK2" t="e">
        <f>AND('zwei Datensätze'!R22,"AAAAAD/XefQ=")</f>
        <v>#VALUE!</v>
      </c>
      <c r="IL2" t="e">
        <f>AND('zwei Datensätze'!S22,"AAAAAD/XefU=")</f>
        <v>#VALUE!</v>
      </c>
      <c r="IM2" t="e">
        <f>AND('zwei Datensätze'!T22,"AAAAAD/XefY=")</f>
        <v>#VALUE!</v>
      </c>
      <c r="IN2" t="e">
        <f>AND('zwei Datensätze'!U22,"AAAAAD/Xefc=")</f>
        <v>#VALUE!</v>
      </c>
      <c r="IO2" t="e">
        <f>AND('zwei Datensätze'!V22,"AAAAAD/Xefg=")</f>
        <v>#VALUE!</v>
      </c>
      <c r="IP2" t="e">
        <f>AND('zwei Datensätze'!W22,"AAAAAD/Xefk=")</f>
        <v>#VALUE!</v>
      </c>
      <c r="IQ2">
        <f>IF('zwei Datensätze'!23:23,"AAAAAD/Xefo=",0)</f>
        <v>0</v>
      </c>
      <c r="IR2" t="e">
        <f>AND('zwei Datensätze'!B23,"AAAAAD/Xefs=")</f>
        <v>#VALUE!</v>
      </c>
      <c r="IS2" t="e">
        <f>AND('zwei Datensätze'!C23,"AAAAAD/Xefw=")</f>
        <v>#VALUE!</v>
      </c>
      <c r="IT2" t="e">
        <f>AND('zwei Datensätze'!D23,"AAAAAD/Xef0=")</f>
        <v>#VALUE!</v>
      </c>
      <c r="IU2" t="e">
        <f>AND('zwei Datensätze'!E23,"AAAAAD/Xef4=")</f>
        <v>#VALUE!</v>
      </c>
      <c r="IV2" t="e">
        <f>AND('zwei Datensätze'!F23,"AAAAAD/Xef8=")</f>
        <v>#VALUE!</v>
      </c>
    </row>
    <row r="3" spans="1:256" x14ac:dyDescent="0.25">
      <c r="A3" t="e">
        <f>AND('zwei Datensätze'!G23,"AAAAAHfvOgA=")</f>
        <v>#VALUE!</v>
      </c>
      <c r="B3" t="e">
        <f>AND('zwei Datensätze'!H23,"AAAAAHfvOgE=")</f>
        <v>#VALUE!</v>
      </c>
      <c r="C3" t="e">
        <f>AND('zwei Datensätze'!I23,"AAAAAHfvOgI=")</f>
        <v>#VALUE!</v>
      </c>
      <c r="D3" t="e">
        <f>AND('zwei Datensätze'!J23,"AAAAAHfvOgM=")</f>
        <v>#VALUE!</v>
      </c>
      <c r="E3" t="e">
        <f>AND('zwei Datensätze'!K23,"AAAAAHfvOgQ=")</f>
        <v>#VALUE!</v>
      </c>
      <c r="F3" t="e">
        <f>AND('zwei Datensätze'!L23,"AAAAAHfvOgU=")</f>
        <v>#VALUE!</v>
      </c>
      <c r="G3" t="e">
        <f>AND('zwei Datensätze'!M23,"AAAAAHfvOgY=")</f>
        <v>#VALUE!</v>
      </c>
      <c r="H3" t="e">
        <f>AND('zwei Datensätze'!N23,"AAAAAHfvOgc=")</f>
        <v>#VALUE!</v>
      </c>
      <c r="I3" t="e">
        <f>AND('zwei Datensätze'!O23,"AAAAAHfvOgg=")</f>
        <v>#VALUE!</v>
      </c>
      <c r="J3" t="e">
        <f>AND('zwei Datensätze'!P23,"AAAAAHfvOgk=")</f>
        <v>#VALUE!</v>
      </c>
      <c r="K3" t="e">
        <f>AND('zwei Datensätze'!Q23,"AAAAAHfvOgo=")</f>
        <v>#VALUE!</v>
      </c>
      <c r="L3" t="e">
        <f>AND('zwei Datensätze'!R23,"AAAAAHfvOgs=")</f>
        <v>#VALUE!</v>
      </c>
      <c r="M3" t="e">
        <f>AND('zwei Datensätze'!S23,"AAAAAHfvOgw=")</f>
        <v>#VALUE!</v>
      </c>
      <c r="N3" t="e">
        <f>AND('zwei Datensätze'!T23,"AAAAAHfvOg0=")</f>
        <v>#VALUE!</v>
      </c>
      <c r="O3" t="e">
        <f>AND('zwei Datensätze'!U23,"AAAAAHfvOg4=")</f>
        <v>#VALUE!</v>
      </c>
      <c r="P3" t="e">
        <f>AND('zwei Datensätze'!V23,"AAAAAHfvOg8=")</f>
        <v>#VALUE!</v>
      </c>
      <c r="Q3" t="e">
        <f>AND('zwei Datensätze'!W23,"AAAAAHfvOhA=")</f>
        <v>#VALUE!</v>
      </c>
      <c r="R3" t="e">
        <f>IF('zwei Datensätze'!24:24,"AAAAAHfvOhE=",0)</f>
        <v>#VALUE!</v>
      </c>
      <c r="S3" t="e">
        <f>AND('zwei Datensätze'!B24,"AAAAAHfvOhI=")</f>
        <v>#VALUE!</v>
      </c>
      <c r="T3" t="e">
        <f>AND('zwei Datensätze'!C24,"AAAAAHfvOhM=")</f>
        <v>#VALUE!</v>
      </c>
      <c r="U3" t="e">
        <f>AND('zwei Datensätze'!D24,"AAAAAHfvOhQ=")</f>
        <v>#VALUE!</v>
      </c>
      <c r="V3" t="e">
        <f>AND('zwei Datensätze'!E24,"AAAAAHfvOhU=")</f>
        <v>#VALUE!</v>
      </c>
      <c r="W3" t="e">
        <f>AND('zwei Datensätze'!F24,"AAAAAHfvOhY=")</f>
        <v>#VALUE!</v>
      </c>
      <c r="X3" t="e">
        <f>AND('zwei Datensätze'!G24,"AAAAAHfvOhc=")</f>
        <v>#VALUE!</v>
      </c>
      <c r="Y3" t="e">
        <f>AND('zwei Datensätze'!H24,"AAAAAHfvOhg=")</f>
        <v>#VALUE!</v>
      </c>
      <c r="Z3" t="e">
        <f>AND('zwei Datensätze'!I24,"AAAAAHfvOhk=")</f>
        <v>#VALUE!</v>
      </c>
      <c r="AA3" t="e">
        <f>AND('zwei Datensätze'!J24,"AAAAAHfvOho=")</f>
        <v>#VALUE!</v>
      </c>
      <c r="AB3" t="e">
        <f>AND('zwei Datensätze'!K24,"AAAAAHfvOhs=")</f>
        <v>#VALUE!</v>
      </c>
      <c r="AC3" t="e">
        <f>AND('zwei Datensätze'!L24,"AAAAAHfvOhw=")</f>
        <v>#VALUE!</v>
      </c>
      <c r="AD3" t="e">
        <f>AND('zwei Datensätze'!M24,"AAAAAHfvOh0=")</f>
        <v>#VALUE!</v>
      </c>
      <c r="AE3" t="e">
        <f>AND('zwei Datensätze'!N24,"AAAAAHfvOh4=")</f>
        <v>#VALUE!</v>
      </c>
      <c r="AF3" t="e">
        <f>AND('zwei Datensätze'!O24,"AAAAAHfvOh8=")</f>
        <v>#VALUE!</v>
      </c>
      <c r="AG3" t="e">
        <f>AND('zwei Datensätze'!P24,"AAAAAHfvOiA=")</f>
        <v>#VALUE!</v>
      </c>
      <c r="AH3" t="e">
        <f>AND('zwei Datensätze'!Q24,"AAAAAHfvOiE=")</f>
        <v>#VALUE!</v>
      </c>
      <c r="AI3" t="e">
        <f>AND('zwei Datensätze'!R24,"AAAAAHfvOiI=")</f>
        <v>#VALUE!</v>
      </c>
      <c r="AJ3" t="e">
        <f>AND('zwei Datensätze'!S24,"AAAAAHfvOiM=")</f>
        <v>#VALUE!</v>
      </c>
      <c r="AK3" t="e">
        <f>AND('zwei Datensätze'!T24,"AAAAAHfvOiQ=")</f>
        <v>#VALUE!</v>
      </c>
      <c r="AL3" t="e">
        <f>AND('zwei Datensätze'!U24,"AAAAAHfvOiU=")</f>
        <v>#VALUE!</v>
      </c>
      <c r="AM3" t="e">
        <f>AND('zwei Datensätze'!V24,"AAAAAHfvOiY=")</f>
        <v>#VALUE!</v>
      </c>
      <c r="AN3" t="e">
        <f>AND('zwei Datensätze'!W24,"AAAAAHfvOic=")</f>
        <v>#VALUE!</v>
      </c>
      <c r="AO3">
        <f>IF('zwei Datensätze'!25:25,"AAAAAHfvOig=",0)</f>
        <v>0</v>
      </c>
      <c r="AP3" t="e">
        <f>AND('zwei Datensätze'!B25,"AAAAAHfvOik=")</f>
        <v>#VALUE!</v>
      </c>
      <c r="AQ3" t="e">
        <f>AND('zwei Datensätze'!C25,"AAAAAHfvOio=")</f>
        <v>#VALUE!</v>
      </c>
      <c r="AR3" t="e">
        <f>AND('zwei Datensätze'!D25,"AAAAAHfvOis=")</f>
        <v>#VALUE!</v>
      </c>
      <c r="AS3" t="e">
        <f>AND('zwei Datensätze'!E25,"AAAAAHfvOiw=")</f>
        <v>#VALUE!</v>
      </c>
      <c r="AT3" t="e">
        <f>AND('zwei Datensätze'!F25,"AAAAAHfvOi0=")</f>
        <v>#VALUE!</v>
      </c>
      <c r="AU3" t="e">
        <f>AND('zwei Datensätze'!G25,"AAAAAHfvOi4=")</f>
        <v>#VALUE!</v>
      </c>
      <c r="AV3" t="e">
        <f>AND('zwei Datensätze'!H25,"AAAAAHfvOi8=")</f>
        <v>#VALUE!</v>
      </c>
      <c r="AW3" t="e">
        <f>AND('zwei Datensätze'!I25,"AAAAAHfvOjA=")</f>
        <v>#VALUE!</v>
      </c>
      <c r="AX3" t="e">
        <f>AND('zwei Datensätze'!J25,"AAAAAHfvOjE=")</f>
        <v>#VALUE!</v>
      </c>
      <c r="AY3" t="e">
        <f>AND('zwei Datensätze'!K25,"AAAAAHfvOjI=")</f>
        <v>#VALUE!</v>
      </c>
      <c r="AZ3" t="e">
        <f>AND('zwei Datensätze'!L25,"AAAAAHfvOjM=")</f>
        <v>#VALUE!</v>
      </c>
      <c r="BA3" t="e">
        <f>AND('zwei Datensätze'!M25,"AAAAAHfvOjQ=")</f>
        <v>#VALUE!</v>
      </c>
      <c r="BB3" t="e">
        <f>AND('zwei Datensätze'!N25,"AAAAAHfvOjU=")</f>
        <v>#VALUE!</v>
      </c>
      <c r="BC3" t="e">
        <f>AND('zwei Datensätze'!O25,"AAAAAHfvOjY=")</f>
        <v>#VALUE!</v>
      </c>
      <c r="BD3" t="e">
        <f>AND('zwei Datensätze'!P25,"AAAAAHfvOjc=")</f>
        <v>#VALUE!</v>
      </c>
      <c r="BE3" t="e">
        <f>AND('zwei Datensätze'!Q25,"AAAAAHfvOjg=")</f>
        <v>#VALUE!</v>
      </c>
      <c r="BF3" t="e">
        <f>AND('zwei Datensätze'!R25,"AAAAAHfvOjk=")</f>
        <v>#VALUE!</v>
      </c>
      <c r="BG3" t="e">
        <f>AND('zwei Datensätze'!S25,"AAAAAHfvOjo=")</f>
        <v>#VALUE!</v>
      </c>
      <c r="BH3" t="e">
        <f>AND('zwei Datensätze'!T25,"AAAAAHfvOjs=")</f>
        <v>#VALUE!</v>
      </c>
      <c r="BI3" t="e">
        <f>AND('zwei Datensätze'!U25,"AAAAAHfvOjw=")</f>
        <v>#VALUE!</v>
      </c>
      <c r="BJ3" t="e">
        <f>AND('zwei Datensätze'!V25,"AAAAAHfvOj0=")</f>
        <v>#VALUE!</v>
      </c>
      <c r="BK3" t="e">
        <f>AND('zwei Datensätze'!W25,"AAAAAHfvOj4=")</f>
        <v>#VALUE!</v>
      </c>
      <c r="BL3">
        <f>IF('zwei Datensätze'!26:26,"AAAAAHfvOj8=",0)</f>
        <v>0</v>
      </c>
      <c r="BM3" t="e">
        <f>AND('zwei Datensätze'!B26,"AAAAAHfvOkA=")</f>
        <v>#VALUE!</v>
      </c>
      <c r="BN3" t="e">
        <f>AND('zwei Datensätze'!C26,"AAAAAHfvOkE=")</f>
        <v>#VALUE!</v>
      </c>
      <c r="BO3" t="e">
        <f>AND('zwei Datensätze'!D26,"AAAAAHfvOkI=")</f>
        <v>#VALUE!</v>
      </c>
      <c r="BP3" t="e">
        <f>AND('zwei Datensätze'!E26,"AAAAAHfvOkM=")</f>
        <v>#VALUE!</v>
      </c>
      <c r="BQ3" t="e">
        <f>AND('zwei Datensätze'!F26,"AAAAAHfvOkQ=")</f>
        <v>#VALUE!</v>
      </c>
      <c r="BR3" t="e">
        <f>AND('zwei Datensätze'!G26,"AAAAAHfvOkU=")</f>
        <v>#VALUE!</v>
      </c>
      <c r="BS3" t="e">
        <f>AND('zwei Datensätze'!H26,"AAAAAHfvOkY=")</f>
        <v>#VALUE!</v>
      </c>
      <c r="BT3" t="e">
        <f>AND('zwei Datensätze'!I26,"AAAAAHfvOkc=")</f>
        <v>#VALUE!</v>
      </c>
      <c r="BU3" t="e">
        <f>AND('zwei Datensätze'!J26,"AAAAAHfvOkg=")</f>
        <v>#VALUE!</v>
      </c>
      <c r="BV3" t="e">
        <f>AND('zwei Datensätze'!K26,"AAAAAHfvOkk=")</f>
        <v>#VALUE!</v>
      </c>
      <c r="BW3" t="e">
        <f>AND('zwei Datensätze'!L26,"AAAAAHfvOko=")</f>
        <v>#VALUE!</v>
      </c>
      <c r="BX3" t="e">
        <f>AND('zwei Datensätze'!M26,"AAAAAHfvOks=")</f>
        <v>#VALUE!</v>
      </c>
      <c r="BY3" t="e">
        <f>AND('zwei Datensätze'!N26,"AAAAAHfvOkw=")</f>
        <v>#VALUE!</v>
      </c>
      <c r="BZ3" t="e">
        <f>AND('zwei Datensätze'!O26,"AAAAAHfvOk0=")</f>
        <v>#VALUE!</v>
      </c>
      <c r="CA3" t="e">
        <f>AND('zwei Datensätze'!P26,"AAAAAHfvOk4=")</f>
        <v>#VALUE!</v>
      </c>
      <c r="CB3" t="e">
        <f>AND('zwei Datensätze'!Q26,"AAAAAHfvOk8=")</f>
        <v>#VALUE!</v>
      </c>
      <c r="CC3" t="e">
        <f>AND('zwei Datensätze'!R26,"AAAAAHfvOlA=")</f>
        <v>#VALUE!</v>
      </c>
      <c r="CD3" t="e">
        <f>AND('zwei Datensätze'!S26,"AAAAAHfvOlE=")</f>
        <v>#VALUE!</v>
      </c>
      <c r="CE3" t="e">
        <f>AND('zwei Datensätze'!T26,"AAAAAHfvOlI=")</f>
        <v>#VALUE!</v>
      </c>
      <c r="CF3" t="e">
        <f>AND('zwei Datensätze'!U26,"AAAAAHfvOlM=")</f>
        <v>#VALUE!</v>
      </c>
      <c r="CG3" t="e">
        <f>AND('zwei Datensätze'!V26,"AAAAAHfvOlQ=")</f>
        <v>#VALUE!</v>
      </c>
      <c r="CH3" t="e">
        <f>AND('zwei Datensätze'!W26,"AAAAAHfvOlU=")</f>
        <v>#VALUE!</v>
      </c>
      <c r="CI3">
        <f>IF('zwei Datensätze'!27:27,"AAAAAHfvOlY=",0)</f>
        <v>0</v>
      </c>
      <c r="CJ3" t="e">
        <f>AND('zwei Datensätze'!B27,"AAAAAHfvOlc=")</f>
        <v>#VALUE!</v>
      </c>
      <c r="CK3" t="e">
        <f>AND('zwei Datensätze'!C27,"AAAAAHfvOlg=")</f>
        <v>#VALUE!</v>
      </c>
      <c r="CL3" t="e">
        <f>AND('zwei Datensätze'!D27,"AAAAAHfvOlk=")</f>
        <v>#VALUE!</v>
      </c>
      <c r="CM3" t="e">
        <f>AND('zwei Datensätze'!E27,"AAAAAHfvOlo=")</f>
        <v>#VALUE!</v>
      </c>
      <c r="CN3" t="e">
        <f>AND('zwei Datensätze'!F27,"AAAAAHfvOls=")</f>
        <v>#VALUE!</v>
      </c>
      <c r="CO3" t="e">
        <f>AND('zwei Datensätze'!G27,"AAAAAHfvOlw=")</f>
        <v>#VALUE!</v>
      </c>
      <c r="CP3" t="e">
        <f>AND('zwei Datensätze'!H27,"AAAAAHfvOl0=")</f>
        <v>#VALUE!</v>
      </c>
      <c r="CQ3" t="e">
        <f>AND('zwei Datensätze'!I27,"AAAAAHfvOl4=")</f>
        <v>#VALUE!</v>
      </c>
      <c r="CR3" t="e">
        <f>AND('zwei Datensätze'!J27,"AAAAAHfvOl8=")</f>
        <v>#VALUE!</v>
      </c>
      <c r="CS3" t="e">
        <f>AND('zwei Datensätze'!K27,"AAAAAHfvOmA=")</f>
        <v>#VALUE!</v>
      </c>
      <c r="CT3" t="e">
        <f>AND('zwei Datensätze'!L27,"AAAAAHfvOmE=")</f>
        <v>#VALUE!</v>
      </c>
      <c r="CU3" t="e">
        <f>AND('zwei Datensätze'!M27,"AAAAAHfvOmI=")</f>
        <v>#VALUE!</v>
      </c>
      <c r="CV3" t="e">
        <f>AND('zwei Datensätze'!N27,"AAAAAHfvOmM=")</f>
        <v>#VALUE!</v>
      </c>
      <c r="CW3" t="e">
        <f>AND('zwei Datensätze'!O27,"AAAAAHfvOmQ=")</f>
        <v>#VALUE!</v>
      </c>
      <c r="CX3" t="e">
        <f>AND('zwei Datensätze'!P27,"AAAAAHfvOmU=")</f>
        <v>#VALUE!</v>
      </c>
      <c r="CY3" t="e">
        <f>AND('zwei Datensätze'!Q27,"AAAAAHfvOmY=")</f>
        <v>#VALUE!</v>
      </c>
      <c r="CZ3" t="e">
        <f>AND('zwei Datensätze'!R27,"AAAAAHfvOmc=")</f>
        <v>#VALUE!</v>
      </c>
      <c r="DA3" t="e">
        <f>AND('zwei Datensätze'!S27,"AAAAAHfvOmg=")</f>
        <v>#VALUE!</v>
      </c>
      <c r="DB3" t="e">
        <f>AND('zwei Datensätze'!T27,"AAAAAHfvOmk=")</f>
        <v>#VALUE!</v>
      </c>
      <c r="DC3" t="e">
        <f>AND('zwei Datensätze'!U27,"AAAAAHfvOmo=")</f>
        <v>#VALUE!</v>
      </c>
      <c r="DD3" t="e">
        <f>AND('zwei Datensätze'!V27,"AAAAAHfvOms=")</f>
        <v>#VALUE!</v>
      </c>
      <c r="DE3" t="e">
        <f>AND('zwei Datensätze'!W27,"AAAAAHfvOmw=")</f>
        <v>#VALUE!</v>
      </c>
      <c r="DF3">
        <f>IF('zwei Datensätze'!28:28,"AAAAAHfvOm0=",0)</f>
        <v>0</v>
      </c>
      <c r="DG3" t="e">
        <f>AND('zwei Datensätze'!B28,"AAAAAHfvOm4=")</f>
        <v>#VALUE!</v>
      </c>
      <c r="DH3" t="e">
        <f>AND('zwei Datensätze'!C28,"AAAAAHfvOm8=")</f>
        <v>#VALUE!</v>
      </c>
      <c r="DI3" t="e">
        <f>AND('zwei Datensätze'!D28,"AAAAAHfvOnA=")</f>
        <v>#VALUE!</v>
      </c>
      <c r="DJ3" t="e">
        <f>AND('zwei Datensätze'!E28,"AAAAAHfvOnE=")</f>
        <v>#VALUE!</v>
      </c>
      <c r="DK3" t="e">
        <f>AND('zwei Datensätze'!F28,"AAAAAHfvOnI=")</f>
        <v>#VALUE!</v>
      </c>
      <c r="DL3" t="e">
        <f>AND('zwei Datensätze'!G28,"AAAAAHfvOnM=")</f>
        <v>#VALUE!</v>
      </c>
      <c r="DM3" t="e">
        <f>AND('zwei Datensätze'!H28,"AAAAAHfvOnQ=")</f>
        <v>#VALUE!</v>
      </c>
      <c r="DN3" t="e">
        <f>AND('zwei Datensätze'!I28,"AAAAAHfvOnU=")</f>
        <v>#VALUE!</v>
      </c>
      <c r="DO3" t="e">
        <f>AND('zwei Datensätze'!J28,"AAAAAHfvOnY=")</f>
        <v>#VALUE!</v>
      </c>
      <c r="DP3" t="e">
        <f>AND('zwei Datensätze'!K28,"AAAAAHfvOnc=")</f>
        <v>#VALUE!</v>
      </c>
      <c r="DQ3" t="e">
        <f>AND('zwei Datensätze'!L28,"AAAAAHfvOng=")</f>
        <v>#VALUE!</v>
      </c>
      <c r="DR3" t="e">
        <f>AND('zwei Datensätze'!M28,"AAAAAHfvOnk=")</f>
        <v>#VALUE!</v>
      </c>
      <c r="DS3" t="e">
        <f>AND('zwei Datensätze'!N28,"AAAAAHfvOno=")</f>
        <v>#VALUE!</v>
      </c>
      <c r="DT3" t="e">
        <f>AND('zwei Datensätze'!O28,"AAAAAHfvOns=")</f>
        <v>#VALUE!</v>
      </c>
      <c r="DU3" t="e">
        <f>AND('zwei Datensätze'!P28,"AAAAAHfvOnw=")</f>
        <v>#VALUE!</v>
      </c>
      <c r="DV3" t="e">
        <f>AND('zwei Datensätze'!Q28,"AAAAAHfvOn0=")</f>
        <v>#VALUE!</v>
      </c>
      <c r="DW3" t="e">
        <f>AND('zwei Datensätze'!R28,"AAAAAHfvOn4=")</f>
        <v>#VALUE!</v>
      </c>
      <c r="DX3" t="e">
        <f>AND('zwei Datensätze'!S28,"AAAAAHfvOn8=")</f>
        <v>#VALUE!</v>
      </c>
      <c r="DY3" t="e">
        <f>AND('zwei Datensätze'!T28,"AAAAAHfvOoA=")</f>
        <v>#VALUE!</v>
      </c>
      <c r="DZ3" t="e">
        <f>AND('zwei Datensätze'!U28,"AAAAAHfvOoE=")</f>
        <v>#VALUE!</v>
      </c>
      <c r="EA3" t="e">
        <f>AND('zwei Datensätze'!V28,"AAAAAHfvOoI=")</f>
        <v>#VALUE!</v>
      </c>
      <c r="EB3" t="e">
        <f>AND('zwei Datensätze'!W28,"AAAAAHfvOoM=")</f>
        <v>#VALUE!</v>
      </c>
      <c r="EC3">
        <f>IF('zwei Datensätze'!29:29,"AAAAAHfvOoQ=",0)</f>
        <v>0</v>
      </c>
      <c r="ED3" t="e">
        <f>AND('zwei Datensätze'!B29,"AAAAAHfvOoU=")</f>
        <v>#VALUE!</v>
      </c>
      <c r="EE3" t="e">
        <f>AND('zwei Datensätze'!C29,"AAAAAHfvOoY=")</f>
        <v>#VALUE!</v>
      </c>
      <c r="EF3" t="e">
        <f>AND('zwei Datensätze'!D29,"AAAAAHfvOoc=")</f>
        <v>#VALUE!</v>
      </c>
      <c r="EG3" t="e">
        <f>AND('zwei Datensätze'!E29,"AAAAAHfvOog=")</f>
        <v>#VALUE!</v>
      </c>
      <c r="EH3" t="e">
        <f>AND('zwei Datensätze'!F29,"AAAAAHfvOok=")</f>
        <v>#VALUE!</v>
      </c>
      <c r="EI3" t="e">
        <f>AND('zwei Datensätze'!G29,"AAAAAHfvOoo=")</f>
        <v>#VALUE!</v>
      </c>
      <c r="EJ3" t="e">
        <f>AND('zwei Datensätze'!H29,"AAAAAHfvOos=")</f>
        <v>#VALUE!</v>
      </c>
      <c r="EK3" t="e">
        <f>AND('zwei Datensätze'!I29,"AAAAAHfvOow=")</f>
        <v>#VALUE!</v>
      </c>
      <c r="EL3" t="e">
        <f>AND('zwei Datensätze'!J29,"AAAAAHfvOo0=")</f>
        <v>#VALUE!</v>
      </c>
      <c r="EM3" t="e">
        <f>AND('zwei Datensätze'!K29,"AAAAAHfvOo4=")</f>
        <v>#VALUE!</v>
      </c>
      <c r="EN3" t="e">
        <f>AND('zwei Datensätze'!L29,"AAAAAHfvOo8=")</f>
        <v>#VALUE!</v>
      </c>
      <c r="EO3" t="e">
        <f>AND('zwei Datensätze'!M29,"AAAAAHfvOpA=")</f>
        <v>#VALUE!</v>
      </c>
      <c r="EP3" t="e">
        <f>AND('zwei Datensätze'!N29,"AAAAAHfvOpE=")</f>
        <v>#VALUE!</v>
      </c>
      <c r="EQ3" t="e">
        <f>AND('zwei Datensätze'!O29,"AAAAAHfvOpI=")</f>
        <v>#VALUE!</v>
      </c>
      <c r="ER3" t="e">
        <f>AND('zwei Datensätze'!P29,"AAAAAHfvOpM=")</f>
        <v>#VALUE!</v>
      </c>
      <c r="ES3" t="e">
        <f>AND('zwei Datensätze'!Q29,"AAAAAHfvOpQ=")</f>
        <v>#VALUE!</v>
      </c>
      <c r="ET3" t="e">
        <f>AND('zwei Datensätze'!R29,"AAAAAHfvOpU=")</f>
        <v>#VALUE!</v>
      </c>
      <c r="EU3" t="e">
        <f>AND('zwei Datensätze'!S29,"AAAAAHfvOpY=")</f>
        <v>#VALUE!</v>
      </c>
      <c r="EV3" t="e">
        <f>AND('zwei Datensätze'!T29,"AAAAAHfvOpc=")</f>
        <v>#VALUE!</v>
      </c>
      <c r="EW3" t="e">
        <f>AND('zwei Datensätze'!U29,"AAAAAHfvOpg=")</f>
        <v>#VALUE!</v>
      </c>
      <c r="EX3" t="e">
        <f>AND('zwei Datensätze'!V29,"AAAAAHfvOpk=")</f>
        <v>#VALUE!</v>
      </c>
      <c r="EY3" t="e">
        <f>AND('zwei Datensätze'!W29,"AAAAAHfvOpo=")</f>
        <v>#VALUE!</v>
      </c>
      <c r="EZ3">
        <f>IF('zwei Datensätze'!30:30,"AAAAAHfvOps=",0)</f>
        <v>0</v>
      </c>
      <c r="FA3" t="e">
        <f>AND('zwei Datensätze'!B30,"AAAAAHfvOpw=")</f>
        <v>#VALUE!</v>
      </c>
      <c r="FB3" t="e">
        <f>AND('zwei Datensätze'!C30,"AAAAAHfvOp0=")</f>
        <v>#VALUE!</v>
      </c>
      <c r="FC3" t="e">
        <f>AND('zwei Datensätze'!D30,"AAAAAHfvOp4=")</f>
        <v>#VALUE!</v>
      </c>
      <c r="FD3" t="e">
        <f>AND('zwei Datensätze'!E30,"AAAAAHfvOp8=")</f>
        <v>#VALUE!</v>
      </c>
      <c r="FE3" t="e">
        <f>AND('zwei Datensätze'!F30,"AAAAAHfvOqA=")</f>
        <v>#VALUE!</v>
      </c>
      <c r="FF3" t="e">
        <f>AND('zwei Datensätze'!G30,"AAAAAHfvOqE=")</f>
        <v>#VALUE!</v>
      </c>
      <c r="FG3" t="e">
        <f>AND('zwei Datensätze'!H30,"AAAAAHfvOqI=")</f>
        <v>#VALUE!</v>
      </c>
      <c r="FH3" t="e">
        <f>AND('zwei Datensätze'!I30,"AAAAAHfvOqM=")</f>
        <v>#VALUE!</v>
      </c>
      <c r="FI3" t="e">
        <f>AND('zwei Datensätze'!J30,"AAAAAHfvOqQ=")</f>
        <v>#VALUE!</v>
      </c>
      <c r="FJ3" t="e">
        <f>AND('zwei Datensätze'!K30,"AAAAAHfvOqU=")</f>
        <v>#VALUE!</v>
      </c>
      <c r="FK3" t="e">
        <f>AND('zwei Datensätze'!L30,"AAAAAHfvOqY=")</f>
        <v>#VALUE!</v>
      </c>
      <c r="FL3" t="e">
        <f>AND('zwei Datensätze'!M30,"AAAAAHfvOqc=")</f>
        <v>#VALUE!</v>
      </c>
      <c r="FM3" t="e">
        <f>AND('zwei Datensätze'!N30,"AAAAAHfvOqg=")</f>
        <v>#VALUE!</v>
      </c>
      <c r="FN3" t="e">
        <f>AND('zwei Datensätze'!O30,"AAAAAHfvOqk=")</f>
        <v>#VALUE!</v>
      </c>
      <c r="FO3" t="e">
        <f>AND('zwei Datensätze'!P30,"AAAAAHfvOqo=")</f>
        <v>#VALUE!</v>
      </c>
      <c r="FP3" t="e">
        <f>AND('zwei Datensätze'!Q30,"AAAAAHfvOqs=")</f>
        <v>#VALUE!</v>
      </c>
      <c r="FQ3" t="e">
        <f>AND('zwei Datensätze'!R30,"AAAAAHfvOqw=")</f>
        <v>#VALUE!</v>
      </c>
      <c r="FR3" t="e">
        <f>AND('zwei Datensätze'!S30,"AAAAAHfvOq0=")</f>
        <v>#VALUE!</v>
      </c>
      <c r="FS3" t="e">
        <f>AND('zwei Datensätze'!T30,"AAAAAHfvOq4=")</f>
        <v>#VALUE!</v>
      </c>
      <c r="FT3" t="e">
        <f>AND('zwei Datensätze'!U30,"AAAAAHfvOq8=")</f>
        <v>#VALUE!</v>
      </c>
      <c r="FU3" t="e">
        <f>AND('zwei Datensätze'!V30,"AAAAAHfvOrA=")</f>
        <v>#VALUE!</v>
      </c>
      <c r="FV3" t="e">
        <f>AND('zwei Datensätze'!W30,"AAAAAHfvOrE=")</f>
        <v>#VALUE!</v>
      </c>
      <c r="FW3">
        <f>IF('zwei Datensätze'!31:31,"AAAAAHfvOrI=",0)</f>
        <v>0</v>
      </c>
      <c r="FX3" t="e">
        <f>AND('zwei Datensätze'!B31,"AAAAAHfvOrM=")</f>
        <v>#VALUE!</v>
      </c>
      <c r="FY3" t="e">
        <f>AND('zwei Datensätze'!C31,"AAAAAHfvOrQ=")</f>
        <v>#VALUE!</v>
      </c>
      <c r="FZ3" t="e">
        <f>AND('zwei Datensätze'!D31,"AAAAAHfvOrU=")</f>
        <v>#VALUE!</v>
      </c>
      <c r="GA3" t="e">
        <f>AND('zwei Datensätze'!E31,"AAAAAHfvOrY=")</f>
        <v>#VALUE!</v>
      </c>
      <c r="GB3" t="e">
        <f>AND('zwei Datensätze'!F31,"AAAAAHfvOrc=")</f>
        <v>#VALUE!</v>
      </c>
      <c r="GC3" t="e">
        <f>AND('zwei Datensätze'!G31,"AAAAAHfvOrg=")</f>
        <v>#VALUE!</v>
      </c>
      <c r="GD3" t="e">
        <f>AND('zwei Datensätze'!H31,"AAAAAHfvOrk=")</f>
        <v>#VALUE!</v>
      </c>
      <c r="GE3" t="e">
        <f>AND('zwei Datensätze'!I31,"AAAAAHfvOro=")</f>
        <v>#VALUE!</v>
      </c>
      <c r="GF3" t="e">
        <f>AND('zwei Datensätze'!J31,"AAAAAHfvOrs=")</f>
        <v>#VALUE!</v>
      </c>
      <c r="GG3" t="e">
        <f>AND('zwei Datensätze'!K31,"AAAAAHfvOrw=")</f>
        <v>#VALUE!</v>
      </c>
      <c r="GH3" t="e">
        <f>AND('zwei Datensätze'!L31,"AAAAAHfvOr0=")</f>
        <v>#VALUE!</v>
      </c>
      <c r="GI3" t="e">
        <f>AND('zwei Datensätze'!M31,"AAAAAHfvOr4=")</f>
        <v>#VALUE!</v>
      </c>
      <c r="GJ3" t="e">
        <f>AND('zwei Datensätze'!N31,"AAAAAHfvOr8=")</f>
        <v>#VALUE!</v>
      </c>
      <c r="GK3" t="e">
        <f>AND('zwei Datensätze'!O31,"AAAAAHfvOsA=")</f>
        <v>#VALUE!</v>
      </c>
      <c r="GL3" t="e">
        <f>AND('zwei Datensätze'!P31,"AAAAAHfvOsE=")</f>
        <v>#VALUE!</v>
      </c>
      <c r="GM3" t="e">
        <f>AND('zwei Datensätze'!Q31,"AAAAAHfvOsI=")</f>
        <v>#VALUE!</v>
      </c>
      <c r="GN3" t="e">
        <f>AND('zwei Datensätze'!R31,"AAAAAHfvOsM=")</f>
        <v>#VALUE!</v>
      </c>
      <c r="GO3" t="e">
        <f>AND('zwei Datensätze'!S31,"AAAAAHfvOsQ=")</f>
        <v>#VALUE!</v>
      </c>
      <c r="GP3" t="e">
        <f>AND('zwei Datensätze'!T31,"AAAAAHfvOsU=")</f>
        <v>#VALUE!</v>
      </c>
      <c r="GQ3" t="e">
        <f>AND('zwei Datensätze'!U31,"AAAAAHfvOsY=")</f>
        <v>#VALUE!</v>
      </c>
      <c r="GR3" t="e">
        <f>AND('zwei Datensätze'!V31,"AAAAAHfvOsc=")</f>
        <v>#VALUE!</v>
      </c>
      <c r="GS3" t="e">
        <f>AND('zwei Datensätze'!W31,"AAAAAHfvOsg=")</f>
        <v>#VALUE!</v>
      </c>
      <c r="GT3">
        <f>IF('zwei Datensätze'!32:32,"AAAAAHfvOsk=",0)</f>
        <v>0</v>
      </c>
      <c r="GU3" t="e">
        <f>AND('zwei Datensätze'!B32,"AAAAAHfvOso=")</f>
        <v>#VALUE!</v>
      </c>
      <c r="GV3" t="e">
        <f>AND('zwei Datensätze'!C32,"AAAAAHfvOss=")</f>
        <v>#VALUE!</v>
      </c>
      <c r="GW3" t="e">
        <f>AND('zwei Datensätze'!D32,"AAAAAHfvOsw=")</f>
        <v>#VALUE!</v>
      </c>
      <c r="GX3" t="e">
        <f>AND('zwei Datensätze'!E32,"AAAAAHfvOs0=")</f>
        <v>#VALUE!</v>
      </c>
      <c r="GY3" t="e">
        <f>AND('zwei Datensätze'!F32,"AAAAAHfvOs4=")</f>
        <v>#VALUE!</v>
      </c>
      <c r="GZ3" t="e">
        <f>AND('zwei Datensätze'!G32,"AAAAAHfvOs8=")</f>
        <v>#VALUE!</v>
      </c>
      <c r="HA3" t="e">
        <f>AND('zwei Datensätze'!H32,"AAAAAHfvOtA=")</f>
        <v>#VALUE!</v>
      </c>
      <c r="HB3" t="e">
        <f>AND('zwei Datensätze'!I32,"AAAAAHfvOtE=")</f>
        <v>#VALUE!</v>
      </c>
      <c r="HC3" t="e">
        <f>AND('zwei Datensätze'!J32,"AAAAAHfvOtI=")</f>
        <v>#VALUE!</v>
      </c>
      <c r="HD3" t="e">
        <f>AND('zwei Datensätze'!K32,"AAAAAHfvOtM=")</f>
        <v>#VALUE!</v>
      </c>
      <c r="HE3" t="e">
        <f>AND('zwei Datensätze'!L32,"AAAAAHfvOtQ=")</f>
        <v>#VALUE!</v>
      </c>
      <c r="HF3" t="e">
        <f>AND('zwei Datensätze'!M32,"AAAAAHfvOtU=")</f>
        <v>#VALUE!</v>
      </c>
      <c r="HG3" t="e">
        <f>AND('zwei Datensätze'!N32,"AAAAAHfvOtY=")</f>
        <v>#VALUE!</v>
      </c>
      <c r="HH3" t="e">
        <f>AND('zwei Datensätze'!O32,"AAAAAHfvOtc=")</f>
        <v>#VALUE!</v>
      </c>
      <c r="HI3" t="e">
        <f>AND('zwei Datensätze'!P32,"AAAAAHfvOtg=")</f>
        <v>#VALUE!</v>
      </c>
      <c r="HJ3" t="e">
        <f>AND('zwei Datensätze'!Q32,"AAAAAHfvOtk=")</f>
        <v>#VALUE!</v>
      </c>
      <c r="HK3" t="e">
        <f>AND('zwei Datensätze'!R32,"AAAAAHfvOto=")</f>
        <v>#VALUE!</v>
      </c>
      <c r="HL3" t="e">
        <f>AND('zwei Datensätze'!S32,"AAAAAHfvOts=")</f>
        <v>#VALUE!</v>
      </c>
      <c r="HM3" t="e">
        <f>AND('zwei Datensätze'!T32,"AAAAAHfvOtw=")</f>
        <v>#VALUE!</v>
      </c>
      <c r="HN3" t="e">
        <f>AND('zwei Datensätze'!U32,"AAAAAHfvOt0=")</f>
        <v>#VALUE!</v>
      </c>
      <c r="HO3" t="e">
        <f>AND('zwei Datensätze'!V32,"AAAAAHfvOt4=")</f>
        <v>#VALUE!</v>
      </c>
      <c r="HP3" t="e">
        <f>AND('zwei Datensätze'!W32,"AAAAAHfvOt8=")</f>
        <v>#VALUE!</v>
      </c>
      <c r="HQ3">
        <f>IF('zwei Datensätze'!33:33,"AAAAAHfvOuA=",0)</f>
        <v>0</v>
      </c>
      <c r="HR3" t="e">
        <f>AND('zwei Datensätze'!B33,"AAAAAHfvOuE=")</f>
        <v>#VALUE!</v>
      </c>
      <c r="HS3" t="e">
        <f>AND('zwei Datensätze'!C33,"AAAAAHfvOuI=")</f>
        <v>#VALUE!</v>
      </c>
      <c r="HT3" t="e">
        <f>AND('zwei Datensätze'!D33,"AAAAAHfvOuM=")</f>
        <v>#VALUE!</v>
      </c>
      <c r="HU3" t="e">
        <f>AND('zwei Datensätze'!E33,"AAAAAHfvOuQ=")</f>
        <v>#VALUE!</v>
      </c>
      <c r="HV3" t="e">
        <f>AND('zwei Datensätze'!F33,"AAAAAHfvOuU=")</f>
        <v>#VALUE!</v>
      </c>
      <c r="HW3" t="e">
        <f>AND('zwei Datensätze'!G33,"AAAAAHfvOuY=")</f>
        <v>#VALUE!</v>
      </c>
      <c r="HX3" t="e">
        <f>AND('zwei Datensätze'!H33,"AAAAAHfvOuc=")</f>
        <v>#VALUE!</v>
      </c>
      <c r="HY3" t="e">
        <f>AND('zwei Datensätze'!I33,"AAAAAHfvOug=")</f>
        <v>#VALUE!</v>
      </c>
      <c r="HZ3" t="e">
        <f>AND('zwei Datensätze'!J33,"AAAAAHfvOuk=")</f>
        <v>#VALUE!</v>
      </c>
      <c r="IA3" t="e">
        <f>AND('zwei Datensätze'!K33,"AAAAAHfvOuo=")</f>
        <v>#VALUE!</v>
      </c>
      <c r="IB3" t="e">
        <f>AND('zwei Datensätze'!L33,"AAAAAHfvOus=")</f>
        <v>#VALUE!</v>
      </c>
      <c r="IC3" t="e">
        <f>AND('zwei Datensätze'!M33,"AAAAAHfvOuw=")</f>
        <v>#VALUE!</v>
      </c>
      <c r="ID3" t="e">
        <f>AND('zwei Datensätze'!N33,"AAAAAHfvOu0=")</f>
        <v>#VALUE!</v>
      </c>
      <c r="IE3" t="e">
        <f>AND('zwei Datensätze'!O33,"AAAAAHfvOu4=")</f>
        <v>#VALUE!</v>
      </c>
      <c r="IF3" t="e">
        <f>AND('zwei Datensätze'!P33,"AAAAAHfvOu8=")</f>
        <v>#VALUE!</v>
      </c>
      <c r="IG3" t="e">
        <f>AND('zwei Datensätze'!Q33,"AAAAAHfvOvA=")</f>
        <v>#VALUE!</v>
      </c>
      <c r="IH3" t="e">
        <f>AND('zwei Datensätze'!R33,"AAAAAHfvOvE=")</f>
        <v>#VALUE!</v>
      </c>
      <c r="II3" t="e">
        <f>AND('zwei Datensätze'!S33,"AAAAAHfvOvI=")</f>
        <v>#VALUE!</v>
      </c>
      <c r="IJ3" t="e">
        <f>AND('zwei Datensätze'!T33,"AAAAAHfvOvM=")</f>
        <v>#VALUE!</v>
      </c>
      <c r="IK3" t="e">
        <f>AND('zwei Datensätze'!U33,"AAAAAHfvOvQ=")</f>
        <v>#VALUE!</v>
      </c>
      <c r="IL3" t="e">
        <f>AND('zwei Datensätze'!V33,"AAAAAHfvOvU=")</f>
        <v>#VALUE!</v>
      </c>
      <c r="IM3" t="e">
        <f>AND('zwei Datensätze'!W33,"AAAAAHfvOvY=")</f>
        <v>#VALUE!</v>
      </c>
      <c r="IN3">
        <f>IF('zwei Datensätze'!34:34,"AAAAAHfvOvc=",0)</f>
        <v>0</v>
      </c>
      <c r="IO3" t="e">
        <f>AND('zwei Datensätze'!B34,"AAAAAHfvOvg=")</f>
        <v>#VALUE!</v>
      </c>
      <c r="IP3" t="e">
        <f>AND('zwei Datensätze'!C34,"AAAAAHfvOvk=")</f>
        <v>#VALUE!</v>
      </c>
      <c r="IQ3" t="e">
        <f>AND('zwei Datensätze'!D34,"AAAAAHfvOvo=")</f>
        <v>#VALUE!</v>
      </c>
      <c r="IR3" t="e">
        <f>AND('zwei Datensätze'!E34,"AAAAAHfvOvs=")</f>
        <v>#VALUE!</v>
      </c>
      <c r="IS3" t="e">
        <f>AND('zwei Datensätze'!F34,"AAAAAHfvOvw=")</f>
        <v>#VALUE!</v>
      </c>
      <c r="IT3">
        <f>IF('zwei Datensätze'!A:A,"AAAAAHfvOv0=",0)</f>
        <v>0</v>
      </c>
      <c r="IU3">
        <f>IF('zwei Datensätze'!B:B,"AAAAAHfvOv4=",0)</f>
        <v>0</v>
      </c>
      <c r="IV3">
        <f>IF('zwei Datensätze'!C:C,"AAAAAHfvOv8=",0)</f>
        <v>0</v>
      </c>
    </row>
    <row r="4" spans="1:256" x14ac:dyDescent="0.25">
      <c r="A4" t="e">
        <f>IF('zwei Datensätze'!D:D,"AAAAAG7v/QA=",0)</f>
        <v>#VALUE!</v>
      </c>
      <c r="B4" t="e">
        <f>IF('zwei Datensätze'!E:E,"AAAAAG7v/QE=",0)</f>
        <v>#VALUE!</v>
      </c>
      <c r="C4" t="e">
        <f>IF('zwei Datensätze'!F:F,"AAAAAG7v/QI=",0)</f>
        <v>#VALUE!</v>
      </c>
      <c r="D4">
        <f>IF('zwei Datensätze'!G:G,"AAAAAG7v/QM=",0)</f>
        <v>0</v>
      </c>
      <c r="E4">
        <f>IF('zwei Datensätze'!H:H,"AAAAAG7v/QQ=",0)</f>
        <v>0</v>
      </c>
      <c r="F4">
        <f>IF('zwei Datensätze'!I:I,"AAAAAG7v/QU=",0)</f>
        <v>0</v>
      </c>
      <c r="G4">
        <f>IF('zwei Datensätze'!J:J,"AAAAAG7v/QY=",0)</f>
        <v>0</v>
      </c>
      <c r="H4">
        <f>IF('zwei Datensätze'!K:K,"AAAAAG7v/Qc=",0)</f>
        <v>0</v>
      </c>
      <c r="I4" t="e">
        <f>IF('zwei Datensätze'!L:L,"AAAAAG7v/Qg=",0)</f>
        <v>#VALUE!</v>
      </c>
      <c r="J4" t="e">
        <f>IF('zwei Datensätze'!M:M,"AAAAAG7v/Qk=",0)</f>
        <v>#VALUE!</v>
      </c>
      <c r="K4" t="e">
        <f>IF('zwei Datensätze'!N:N,"AAAAAG7v/Qo=",0)</f>
        <v>#VALUE!</v>
      </c>
      <c r="L4" t="e">
        <f>IF('zwei Datensätze'!O:O,"AAAAAG7v/Qs=",0)</f>
        <v>#VALUE!</v>
      </c>
      <c r="M4" t="e">
        <f>IF('zwei Datensätze'!P:P,"AAAAAG7v/Qw=",0)</f>
        <v>#VALUE!</v>
      </c>
      <c r="N4" t="e">
        <f>IF('zwei Datensätze'!Q:Q,"AAAAAG7v/Q0=",0)</f>
        <v>#VALUE!</v>
      </c>
      <c r="O4">
        <f>IF('zwei Datensätze'!R:R,"AAAAAG7v/Q4=",0)</f>
        <v>0</v>
      </c>
      <c r="P4">
        <f>IF('zwei Datensätze'!S:S,"AAAAAG7v/Q8=",0)</f>
        <v>0</v>
      </c>
      <c r="Q4">
        <f>IF('zwei Datensätze'!T:T,"AAAAAG7v/RA=",0)</f>
        <v>0</v>
      </c>
      <c r="R4">
        <f>IF('zwei Datensätze'!U:U,"AAAAAG7v/RE=",0)</f>
        <v>0</v>
      </c>
      <c r="S4">
        <f>IF('zwei Datensätze'!V:V,"AAAAAG7v/RI=",0)</f>
        <v>0</v>
      </c>
      <c r="T4">
        <f>IF('zwei Datensätze'!W:W,"AAAAAG7v/RM=",0)</f>
        <v>0</v>
      </c>
      <c r="U4" t="s">
        <v>25</v>
      </c>
    </row>
  </sheetData>
  <pageMargins left="0.7" right="0.7" top="0.78740157499999996" bottom="0.78740157499999996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zwei Datensätze</vt:lpstr>
    </vt:vector>
  </TitlesOfParts>
  <Manager>Peter Bretscher</Manager>
  <Company>Ingenieurbüro für Wirtschaftsentwicklung</Company>
  <LinksUpToDate>false</LinksUpToDate>
  <SharedDoc>false</SharedDoc>
  <HyperlinkBase>www.bengin.net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Engineering Vectorprofile</dc:title>
  <dc:creator>Peter Bretscher</dc:creator>
  <cp:keywords>quantifying, visualizing</cp:keywords>
  <dc:description>Registered Copyright</dc:description>
  <cp:lastModifiedBy>Peter Bretscher</cp:lastModifiedBy>
  <cp:lastPrinted>2011-10-23T23:09:57Z</cp:lastPrinted>
  <dcterms:created xsi:type="dcterms:W3CDTF">2011-02-08T18:31:19Z</dcterms:created>
  <dcterms:modified xsi:type="dcterms:W3CDTF">2011-11-19T02:56:57Z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 Peter Bretscher</vt:lpwstr>
  </property>
  <property fmtid="{D5CDD505-2E9C-101B-9397-08002B2CF9AE}" pid="3" name="Google.Documents.Tracking">
    <vt:lpwstr>true</vt:lpwstr>
  </property>
  <property fmtid="{D5CDD505-2E9C-101B-9397-08002B2CF9AE}" pid="4" name="Google.Documents.DocumentId">
    <vt:lpwstr>1DHmJqJAckSKA_aSZtSkIceAGC3sHsCHSYQwirIlIbcQ</vt:lpwstr>
  </property>
  <property fmtid="{D5CDD505-2E9C-101B-9397-08002B2CF9AE}" pid="5" name="Google.Documents.RevisionId">
    <vt:lpwstr>15602742257831043200</vt:lpwstr>
  </property>
  <property fmtid="{D5CDD505-2E9C-101B-9397-08002B2CF9AE}" pid="6" name="Google.Documents.PreviousRevisionId">
    <vt:lpwstr>05025966841799608868</vt:lpwstr>
  </property>
  <property fmtid="{D5CDD505-2E9C-101B-9397-08002B2CF9AE}" pid="7" name="Google.Documents.PluginVersion">
    <vt:lpwstr>2.0.1974.7364</vt:lpwstr>
  </property>
  <property fmtid="{D5CDD505-2E9C-101B-9397-08002B2CF9AE}" pid="8" name="Google.Documents.MergeIncapabilityFlags">
    <vt:i4>0</vt:i4>
  </property>
</Properties>
</file>